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0"/>
  <workbookPr codeName="ThisWorkbook"/>
  <mc:AlternateContent xmlns:mc="http://schemas.openxmlformats.org/markup-compatibility/2006">
    <mc:Choice Requires="x15">
      <x15ac:absPath xmlns:x15ac="http://schemas.microsoft.com/office/spreadsheetml/2010/11/ac" url="https://dairyaustralia.sharepoint.com/sites/RegionalServicesTeam-DevelopmentDRA/Shared Documents/Projects/Website Resource Optimisation/Website Tool Master Files/Climate &amp; Environment/"/>
    </mc:Choice>
  </mc:AlternateContent>
  <xr:revisionPtr revIDLastSave="0" documentId="8_{E771CE46-ED83-46F3-A8DA-923ABB31B556}" xr6:coauthVersionLast="47" xr6:coauthVersionMax="47" xr10:uidLastSave="{00000000-0000-0000-0000-000000000000}"/>
  <bookViews>
    <workbookView xWindow="-120" yWindow="-120" windowWidth="29040" windowHeight="15720" firstSheet="2" activeTab="2" xr2:uid="{00000000-000D-0000-FFFF-FFFF00000000}"/>
  </bookViews>
  <sheets>
    <sheet name="Notes" sheetId="14" state="hidden" r:id="rId1"/>
    <sheet name="Index" sheetId="13" r:id="rId2"/>
    <sheet name="Macros Instructions" sheetId="17" r:id="rId3"/>
    <sheet name="Farm details" sheetId="1" r:id="rId4"/>
    <sheet name="Livestock" sheetId="2" r:id="rId5"/>
    <sheet name="Milk production" sheetId="3" r:id="rId6"/>
    <sheet name="Diet" sheetId="15" r:id="rId7"/>
    <sheet name="Fertilisers - total tonnes" sheetId="5" r:id="rId8"/>
    <sheet name="Fertilisers - kg per ha" sheetId="6" r:id="rId9"/>
    <sheet name="Energy consumption" sheetId="7" r:id="rId10"/>
    <sheet name="Purchased Supplements" sheetId="8" r:id="rId11"/>
    <sheet name="Effluent" sheetId="12" r:id="rId12"/>
    <sheet name="Trees" sheetId="9" r:id="rId13"/>
  </sheets>
  <externalReferences>
    <externalReference r:id="rId14"/>
    <externalReference r:id="rId15"/>
    <externalReference r:id="rId16"/>
    <externalReference r:id="rId17"/>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ullNumber" localSheetId="6">'[1]Your farm'!$G$16</definedName>
    <definedName name="BullNumber">'[2]Your farm'!$G$16</definedName>
    <definedName name="BullSalesLiveweight" localSheetId="6">'[1]Your farm'!$G$24</definedName>
    <definedName name="BullSalesLiveweight">'[2]Your farm'!$G$24</definedName>
    <definedName name="BullSalesNumber" localSheetId="6">'[1]Your farm'!$G$22</definedName>
    <definedName name="BullSalesNumber">'[2]Your farm'!$G$22</definedName>
    <definedName name="By.products" localSheetId="0">[3]Diet!$Z$63:$Z$71</definedName>
    <definedName name="By.Products">Diet!$Z$63:$Z$73</definedName>
    <definedName name="CowMilkerNumber" localSheetId="6">'[1]Your farm'!$D$16</definedName>
    <definedName name="CowMilkerNumber">'[2]Your farm'!$D$16</definedName>
    <definedName name="DairyBaseID" localSheetId="6">'[1]Your farm'!$H$8</definedName>
    <definedName name="DairyBaseID">'[2]Your farm'!$H$8</definedName>
    <definedName name="DieselUseContractors" localSheetId="6">'[1]Your farm'!$G$73</definedName>
    <definedName name="DieselUseContractors">'[2]Your farm'!$G$73</definedName>
    <definedName name="DieselUseFarm" localSheetId="6">'[1]Your farm'!$G$71</definedName>
    <definedName name="DieselUseFarm">'[2]Your farm'!$G$71</definedName>
    <definedName name="Effluent.Management" localSheetId="6">[4]Effluent!$K$6:$K$9</definedName>
    <definedName name="Effluent.Management" localSheetId="0">[3]Effluent!$K$6:$K$9</definedName>
    <definedName name="Effluent.Management">Effluent!$K$6:$K$9</definedName>
    <definedName name="FeedConcCo2EmissionFactor" localSheetId="6">'[1]Your farm'!$H$592</definedName>
    <definedName name="FeedConcCo2EmissionFactor">'[2]Your farm'!$H$592</definedName>
    <definedName name="FeedConcPurchasedTDM" localSheetId="6">'[1]Your farm'!$C$82</definedName>
    <definedName name="FeedConcPurchasedTDM">'[2]Your farm'!$C$82</definedName>
    <definedName name="FeedConcPurchasedTDMMilking" localSheetId="6">'[1]Your farm'!$H$589</definedName>
    <definedName name="FeedConcPurchasedTDMMilking">'[2]Your farm'!$H$589</definedName>
    <definedName name="FeedConcPurchasedTDMSupport" localSheetId="6">'[1]Your farm'!$I$589</definedName>
    <definedName name="FeedConcPurchasedTDMSupport">'[2]Your farm'!$I$589</definedName>
    <definedName name="FeedFedOtherStockDigestibilityPercent" localSheetId="6">'[1]Your farm'!$D$52</definedName>
    <definedName name="FeedFedOtherStockDigestibilityPercent">'[2]Your farm'!$D$52</definedName>
    <definedName name="FeedFedOtherStockProteinPercent" localSheetId="6">'[1]Your farm'!$D$53</definedName>
    <definedName name="FeedFedOtherStockProteinPercent">'[2]Your farm'!$D$53</definedName>
    <definedName name="FeedHayPurchasedTDMMilking" localSheetId="6">'[1]Your farm'!$H$587</definedName>
    <definedName name="FeedHayPurchasedTDMMilking">'[2]Your farm'!$H$587</definedName>
    <definedName name="FeedHayPurchasedTDMSupport" localSheetId="6">'[1]Your farm'!$I$587</definedName>
    <definedName name="FeedHayPurchasedTDMSupport">'[2]Your farm'!$I$587</definedName>
    <definedName name="FeedOtherPurchasedTDMMilking" localSheetId="6">'[1]Your farm'!$H$590</definedName>
    <definedName name="FeedOtherPurchasedTDMMilking">'[2]Your farm'!$H$590</definedName>
    <definedName name="FeedOtherPurchasedTDMSupport" localSheetId="6">'[1]Your farm'!$I$590</definedName>
    <definedName name="FeedOtherPurchasedTDMSupport">'[2]Your farm'!$I$590</definedName>
    <definedName name="FeedQualityGrains" localSheetId="6">'[1]Feed quality table'!$B$9:$B$22</definedName>
    <definedName name="FeedQualityGrains">'[2]Feed quality table'!$B$9:$B$22</definedName>
    <definedName name="FeedSilagePurchasedTDMMilking" localSheetId="6">'[1]Your farm'!$H$588</definedName>
    <definedName name="FeedSilagePurchasedTDMMilking">'[2]Your farm'!$H$588</definedName>
    <definedName name="FeedSilagePurchasedTDMSupport" localSheetId="6">'[1]Your farm'!$I$588</definedName>
    <definedName name="FeedSilagePurchasedTDMSupport">'[2]Your farm'!$I$588</definedName>
    <definedName name="Fertiliser" localSheetId="6">'[1]Your farm'!$U$229:$U$230</definedName>
    <definedName name="Fertiliser">'[2]Your farm'!$U$229:$U$230</definedName>
    <definedName name="GrainConc">Diet!$Z$16:$Z$26</definedName>
    <definedName name="Grains" localSheetId="0">[3]Diet!$Z$16:$Z$27</definedName>
    <definedName name="Hays" localSheetId="0">[3]Diet!$Z$46:$Z$60</definedName>
    <definedName name="Hays">Diet!$Z$47:$Z$60</definedName>
    <definedName name="Heifer_Feedpad_Waste" localSheetId="6">'[1]Your farm'!$AN$239:$AN$242</definedName>
    <definedName name="Heifer_Feedpad_Waste">'[2]Your farm'!$AN$239:$AN$242</definedName>
    <definedName name="Industry.Average" localSheetId="6">'[4]Farm details'!$P$2:$P$18</definedName>
    <definedName name="Industry.Average" localSheetId="0">'[3]Farm details'!$P$2:$P$18</definedName>
    <definedName name="Industry.Average">'Farm details'!$P$3:$P$19</definedName>
    <definedName name="Milk.production" localSheetId="6">'[1]Your farm'!$U$241:$U$242</definedName>
    <definedName name="Milk.production">'[2]Your farm'!$U$241:$U$242</definedName>
    <definedName name="Milker_Feedpad_Waste" localSheetId="6">'[1]Your farm'!$AI$239:$AI$242</definedName>
    <definedName name="Milker_Feedpad_Waste">'[2]Your farm'!$AI$239:$AI$242</definedName>
    <definedName name="MilkFatPercentAnnual" localSheetId="6">'[1]Your farm'!$D$39</definedName>
    <definedName name="MilkFatPercentAnnual">'[2]Your farm'!$D$39</definedName>
    <definedName name="MilkProteinPercentAnnual" localSheetId="6">'[1]Your farm'!$H$39</definedName>
    <definedName name="MilkProteinPercentAnnual">'[2]Your farm'!$H$39</definedName>
    <definedName name="New.South.Wales">'Farm details'!$G$23:$G$25</definedName>
    <definedName name="OtherLivestockNotImportedNumber" localSheetId="6">'[1]Your farm'!$I$16</definedName>
    <definedName name="OtherLivestockNotImportedNumber">'[2]Your farm'!$I$16</definedName>
    <definedName name="OtherLivestockNumber" localSheetId="6">'[1]Your farm'!$H$16</definedName>
    <definedName name="OtherLivestockNumber">'[2]Your farm'!$H$16</definedName>
    <definedName name="Pal_Workbook_GUID" hidden="1">"WE5GRGLHHGZG77SJ2CRGGBUE"</definedName>
    <definedName name="PercentageConcFedNotImported" localSheetId="6">'[1]Your farm'!$C$84</definedName>
    <definedName name="PercentageConcFedNotImported">'[2]Your farm'!$C$84</definedName>
    <definedName name="PercentageHayFedNotImported" localSheetId="6">'[1]Your farm'!$C$80</definedName>
    <definedName name="PercentageHayFedNotImported">'[2]Your farm'!$C$80</definedName>
    <definedName name="PercentageOtherFedNotImported" localSheetId="6">'[1]Your farm'!$G$84</definedName>
    <definedName name="PercentageOtherFedNotImported">'[2]Your farm'!$G$84</definedName>
    <definedName name="PercentageSilageFedNotImported" localSheetId="6">'[1]Your farm'!$G$80</definedName>
    <definedName name="PercentageSilageFedNotImported">'[2]Your farm'!$G$80</definedName>
    <definedName name="Pre_treament" localSheetId="6">'[1]Your farm'!$AE$234:$AE$235</definedName>
    <definedName name="Pre_treament">'[2]Your farm'!$AE$234:$AE$235</definedName>
    <definedName name="Queensland">'Farm details'!$I$23:$I$24</definedName>
    <definedName name="RegionID" localSheetId="6">'[1]Your farm'!$H$12</definedName>
    <definedName name="RegionID">'[2]Your farm'!$H$12</definedName>
    <definedName name="Rising1HeiferNumber" localSheetId="6">'[1]Your farm'!$F$16</definedName>
    <definedName name="Rising1HeiferNumber">'[2]Your farm'!$F$16</definedName>
    <definedName name="Rising2HeiferNumber" localSheetId="6">'[1]Your farm'!$E$16</definedName>
    <definedName name="Rising2HeiferNumber">'[2]Your farm'!$E$16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ilages" localSheetId="0">[3]Diet!$Z$31:$Z$42</definedName>
    <definedName name="Silages">Diet!$Z$31:$Z$42</definedName>
    <definedName name="South.Australia">'Farm details'!$J$23:$J$24</definedName>
    <definedName name="State" localSheetId="6">'[4]Farm details'!$F$2:$F$7</definedName>
    <definedName name="State" localSheetId="0">'[3]Farm details'!$F$2:$F$7</definedName>
    <definedName name="State">'Farm details'!$F$3:$F$8</definedName>
    <definedName name="Tasmania">'Farm details'!$H$23:$H$26</definedName>
    <definedName name="Tree_Sequestration" localSheetId="6">'[1]Your farm'!$U$235:$U$237</definedName>
    <definedName name="Tree_Sequestration">'[2]Your farm'!$U$235:$U$237</definedName>
    <definedName name="Victoria">'Farm details'!$F$23:$F$28</definedName>
    <definedName name="Waste.Management" localSheetId="6">'[1]Your farm'!$AE$229:$AE$230</definedName>
    <definedName name="Waste.Management">'[2]Your farm'!$AE$229:$AE$230</definedName>
    <definedName name="Western.Australia">'Farm details'!$K$23</definedName>
    <definedName name="Yes.No" localSheetId="6">[4]Effluent!$K$4:$K$5</definedName>
    <definedName name="Yes.No" localSheetId="0">[3]Effluent!$K$4:$K$5</definedName>
    <definedName name="Yes.No">Effluent!$K$4:$K$5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6" l="1"/>
  <c r="F6" i="6"/>
  <c r="G6" i="6"/>
  <c r="H6" i="6"/>
  <c r="E7" i="6"/>
  <c r="F7" i="6"/>
  <c r="G7" i="6"/>
  <c r="H7" i="6"/>
  <c r="E8" i="6"/>
  <c r="F8" i="6"/>
  <c r="G8" i="6"/>
  <c r="H8" i="6"/>
  <c r="E9" i="6"/>
  <c r="F9" i="6"/>
  <c r="G9" i="6"/>
  <c r="H9" i="6"/>
  <c r="E10" i="6"/>
  <c r="F10" i="6"/>
  <c r="G10" i="6"/>
  <c r="H10" i="6"/>
  <c r="E11" i="6"/>
  <c r="F11" i="6"/>
  <c r="G11" i="6"/>
  <c r="H11" i="6"/>
  <c r="E12" i="6"/>
  <c r="F12" i="6"/>
  <c r="G12" i="6"/>
  <c r="H12" i="6"/>
  <c r="E13" i="6"/>
  <c r="F13" i="6"/>
  <c r="G13" i="6"/>
  <c r="H13" i="6"/>
  <c r="E14" i="6"/>
  <c r="F14" i="6"/>
  <c r="G14" i="6"/>
  <c r="H14" i="6"/>
  <c r="E15" i="6"/>
  <c r="F15" i="6"/>
  <c r="G15" i="6"/>
  <c r="H15" i="6"/>
  <c r="E16" i="6"/>
  <c r="F16" i="6"/>
  <c r="G16" i="6"/>
  <c r="H16" i="6"/>
  <c r="E17" i="6"/>
  <c r="F17" i="6"/>
  <c r="G17" i="6"/>
  <c r="H17" i="6"/>
  <c r="E18" i="6"/>
  <c r="F18" i="6"/>
  <c r="G18" i="6"/>
  <c r="H18" i="6"/>
  <c r="E19" i="6"/>
  <c r="F19" i="6"/>
  <c r="G19" i="6"/>
  <c r="H19" i="6"/>
  <c r="E20" i="6"/>
  <c r="F20" i="6"/>
  <c r="G20" i="6"/>
  <c r="H20" i="6"/>
  <c r="E21" i="6"/>
  <c r="F21" i="6"/>
  <c r="G21" i="6"/>
  <c r="H21" i="6"/>
  <c r="E22" i="6"/>
  <c r="F22" i="6"/>
  <c r="G22" i="6"/>
  <c r="H22" i="6"/>
  <c r="E23" i="6"/>
  <c r="F23" i="6"/>
  <c r="G23" i="6"/>
  <c r="H23" i="6"/>
  <c r="E24" i="6"/>
  <c r="F24" i="6"/>
  <c r="G24" i="6"/>
  <c r="H24" i="6"/>
  <c r="E25" i="6"/>
  <c r="F25" i="6"/>
  <c r="G25" i="6"/>
  <c r="H25" i="6"/>
  <c r="E26" i="6"/>
  <c r="F26" i="6"/>
  <c r="G26" i="6"/>
  <c r="H26" i="6"/>
  <c r="E27" i="6"/>
  <c r="F27" i="6"/>
  <c r="G27" i="6"/>
  <c r="H27" i="6"/>
  <c r="E28" i="6"/>
  <c r="F28" i="6"/>
  <c r="G28" i="6"/>
  <c r="H28" i="6"/>
  <c r="E29" i="6"/>
  <c r="F29" i="6"/>
  <c r="G29" i="6"/>
  <c r="H29" i="6"/>
  <c r="E30" i="6"/>
  <c r="F30" i="6"/>
  <c r="G30" i="6"/>
  <c r="H30" i="6"/>
  <c r="E31" i="6"/>
  <c r="F31" i="6"/>
  <c r="G31" i="6"/>
  <c r="H31" i="6"/>
  <c r="E32" i="6"/>
  <c r="F32" i="6"/>
  <c r="G32" i="6"/>
  <c r="H32" i="6"/>
  <c r="E33" i="6"/>
  <c r="F33" i="6"/>
  <c r="G33" i="6"/>
  <c r="H33" i="6"/>
  <c r="E34" i="6"/>
  <c r="F34" i="6"/>
  <c r="G34" i="6"/>
  <c r="H34" i="6"/>
  <c r="E35" i="6"/>
  <c r="F35" i="6"/>
  <c r="G35" i="6"/>
  <c r="H35" i="6"/>
  <c r="E36" i="6"/>
  <c r="F36" i="6"/>
  <c r="G36" i="6"/>
  <c r="H36" i="6"/>
  <c r="E37" i="6"/>
  <c r="F37" i="6"/>
  <c r="G37" i="6"/>
  <c r="H37" i="6"/>
  <c r="E38" i="6"/>
  <c r="F38" i="6"/>
  <c r="G38" i="6"/>
  <c r="H38" i="6"/>
  <c r="E39" i="6"/>
  <c r="F39" i="6"/>
  <c r="G39" i="6"/>
  <c r="H39" i="6"/>
  <c r="E40" i="6"/>
  <c r="F40" i="6"/>
  <c r="G40" i="6"/>
  <c r="H40" i="6"/>
  <c r="E41" i="6"/>
  <c r="F41" i="6"/>
  <c r="G41" i="6"/>
  <c r="H41" i="6"/>
  <c r="E42" i="6"/>
  <c r="F42" i="6"/>
  <c r="G42" i="6"/>
  <c r="H42" i="6"/>
  <c r="E43" i="6"/>
  <c r="F43" i="6"/>
  <c r="G43" i="6"/>
  <c r="H43" i="6"/>
  <c r="E44" i="6"/>
  <c r="F44" i="6"/>
  <c r="G44" i="6"/>
  <c r="H44" i="6"/>
  <c r="E45" i="6"/>
  <c r="F45" i="6"/>
  <c r="G45" i="6"/>
  <c r="H45" i="6"/>
  <c r="E46" i="6"/>
  <c r="F46" i="6"/>
  <c r="G46" i="6"/>
  <c r="H46" i="6"/>
  <c r="E47" i="6"/>
  <c r="F47" i="6"/>
  <c r="G47" i="6"/>
  <c r="H47" i="6"/>
  <c r="E48" i="6"/>
  <c r="F48" i="6"/>
  <c r="G48" i="6"/>
  <c r="H48" i="6"/>
  <c r="E49" i="6"/>
  <c r="F49" i="6"/>
  <c r="G49" i="6"/>
  <c r="H49" i="6"/>
  <c r="E50" i="6"/>
  <c r="F50" i="6"/>
  <c r="G50" i="6"/>
  <c r="H50" i="6"/>
  <c r="E51" i="6"/>
  <c r="F51" i="6"/>
  <c r="G51" i="6"/>
  <c r="H51" i="6"/>
  <c r="E52" i="6"/>
  <c r="F52" i="6"/>
  <c r="G52" i="6"/>
  <c r="H52" i="6"/>
  <c r="E53" i="6"/>
  <c r="F53" i="6"/>
  <c r="G53" i="6"/>
  <c r="H53" i="6"/>
  <c r="D6" i="5"/>
  <c r="E6" i="5"/>
  <c r="F6" i="5"/>
  <c r="G6" i="5"/>
  <c r="D7" i="5"/>
  <c r="E7" i="5"/>
  <c r="F7" i="5"/>
  <c r="G7" i="5"/>
  <c r="D8" i="5"/>
  <c r="E8" i="5"/>
  <c r="F8" i="5"/>
  <c r="G8" i="5"/>
  <c r="D9" i="5"/>
  <c r="E9" i="5"/>
  <c r="F9" i="5"/>
  <c r="G9" i="5"/>
  <c r="D10" i="5"/>
  <c r="E10" i="5"/>
  <c r="F10" i="5"/>
  <c r="G10" i="5"/>
  <c r="D11" i="5"/>
  <c r="E11" i="5"/>
  <c r="F11" i="5"/>
  <c r="G11" i="5"/>
  <c r="D12" i="5"/>
  <c r="E12" i="5"/>
  <c r="F12" i="5"/>
  <c r="G12" i="5"/>
  <c r="D13" i="5"/>
  <c r="E13" i="5"/>
  <c r="F13" i="5"/>
  <c r="G13" i="5"/>
  <c r="D14" i="5"/>
  <c r="E14" i="5"/>
  <c r="F14" i="5"/>
  <c r="G14" i="5"/>
  <c r="D15" i="5"/>
  <c r="E15" i="5"/>
  <c r="F15" i="5"/>
  <c r="G15" i="5"/>
  <c r="D16" i="5"/>
  <c r="E16" i="5"/>
  <c r="F16" i="5"/>
  <c r="G16" i="5"/>
  <c r="D17" i="5"/>
  <c r="E17" i="5"/>
  <c r="F17" i="5"/>
  <c r="G17" i="5"/>
  <c r="D18" i="5"/>
  <c r="E18" i="5"/>
  <c r="F18" i="5"/>
  <c r="G18" i="5"/>
  <c r="D19" i="5"/>
  <c r="E19" i="5"/>
  <c r="F19" i="5"/>
  <c r="G19" i="5"/>
  <c r="D20" i="5"/>
  <c r="E20" i="5"/>
  <c r="F20" i="5"/>
  <c r="G20" i="5"/>
  <c r="D21" i="5"/>
  <c r="E21" i="5"/>
  <c r="F21" i="5"/>
  <c r="G21" i="5"/>
  <c r="D22" i="5"/>
  <c r="E22" i="5"/>
  <c r="F22" i="5"/>
  <c r="G22" i="5"/>
  <c r="D23" i="5"/>
  <c r="E23" i="5"/>
  <c r="F23" i="5"/>
  <c r="G23" i="5"/>
  <c r="D24" i="5"/>
  <c r="E24" i="5"/>
  <c r="F24" i="5"/>
  <c r="G24" i="5"/>
  <c r="D25" i="5"/>
  <c r="E25" i="5"/>
  <c r="F25" i="5"/>
  <c r="G25" i="5"/>
  <c r="D26" i="5"/>
  <c r="E26" i="5"/>
  <c r="F26" i="5"/>
  <c r="G26" i="5"/>
  <c r="D27" i="5"/>
  <c r="E27" i="5"/>
  <c r="F27" i="5"/>
  <c r="G27" i="5"/>
  <c r="D28" i="5"/>
  <c r="E28" i="5"/>
  <c r="F28" i="5"/>
  <c r="G28" i="5"/>
  <c r="D29" i="5"/>
  <c r="E29" i="5"/>
  <c r="F29" i="5"/>
  <c r="G29" i="5"/>
  <c r="D30" i="5"/>
  <c r="E30" i="5"/>
  <c r="F30" i="5"/>
  <c r="G30" i="5"/>
  <c r="D31" i="5"/>
  <c r="E31" i="5"/>
  <c r="F31" i="5"/>
  <c r="G31" i="5"/>
  <c r="D32" i="5"/>
  <c r="E32" i="5"/>
  <c r="F32" i="5"/>
  <c r="G32" i="5"/>
  <c r="D33" i="5"/>
  <c r="E33" i="5"/>
  <c r="F33" i="5"/>
  <c r="G33" i="5"/>
  <c r="D34" i="5"/>
  <c r="E34" i="5"/>
  <c r="F34" i="5"/>
  <c r="G34" i="5"/>
  <c r="D35" i="5"/>
  <c r="E35" i="5"/>
  <c r="F35" i="5"/>
  <c r="G35" i="5"/>
  <c r="D36" i="5"/>
  <c r="E36" i="5"/>
  <c r="F36" i="5"/>
  <c r="G36" i="5"/>
  <c r="D37" i="5"/>
  <c r="E37" i="5"/>
  <c r="F37" i="5"/>
  <c r="G37" i="5"/>
  <c r="D38" i="5"/>
  <c r="E38" i="5"/>
  <c r="F38" i="5"/>
  <c r="G38" i="5"/>
  <c r="D39" i="5"/>
  <c r="E39" i="5"/>
  <c r="F39" i="5"/>
  <c r="G39" i="5"/>
  <c r="D40" i="5"/>
  <c r="E40" i="5"/>
  <c r="F40" i="5"/>
  <c r="G40" i="5"/>
  <c r="D41" i="5"/>
  <c r="E41" i="5"/>
  <c r="F41" i="5"/>
  <c r="G41" i="5"/>
  <c r="D42" i="5"/>
  <c r="E42" i="5"/>
  <c r="F42" i="5"/>
  <c r="G42" i="5"/>
  <c r="D43" i="5"/>
  <c r="E43" i="5"/>
  <c r="F43" i="5"/>
  <c r="G43" i="5"/>
  <c r="D44" i="5"/>
  <c r="E44" i="5"/>
  <c r="F44" i="5"/>
  <c r="G44" i="5"/>
  <c r="D45" i="5"/>
  <c r="E45" i="5"/>
  <c r="F45" i="5"/>
  <c r="G45" i="5"/>
  <c r="D46" i="5"/>
  <c r="E46" i="5"/>
  <c r="F46" i="5"/>
  <c r="G46" i="5"/>
  <c r="D47" i="5"/>
  <c r="E47" i="5"/>
  <c r="F47" i="5"/>
  <c r="G47" i="5"/>
  <c r="D48" i="5"/>
  <c r="E48" i="5"/>
  <c r="F48" i="5"/>
  <c r="G48" i="5"/>
  <c r="D49" i="5"/>
  <c r="E49" i="5"/>
  <c r="F49" i="5"/>
  <c r="G49" i="5"/>
  <c r="D50" i="5"/>
  <c r="E50" i="5"/>
  <c r="F50" i="5"/>
  <c r="G50" i="5"/>
  <c r="D51" i="5"/>
  <c r="E51" i="5"/>
  <c r="F51" i="5"/>
  <c r="G51" i="5"/>
  <c r="D52" i="5"/>
  <c r="E52" i="5"/>
  <c r="F52" i="5"/>
  <c r="G52" i="5"/>
  <c r="D53" i="5"/>
  <c r="E53" i="5"/>
  <c r="F53" i="5"/>
  <c r="G53" i="5"/>
  <c r="E54" i="6"/>
  <c r="F54" i="6"/>
  <c r="G54" i="6"/>
  <c r="H54" i="6"/>
  <c r="I32" i="8"/>
  <c r="I15" i="8"/>
  <c r="I16" i="8"/>
  <c r="I14" i="8"/>
  <c r="D31" i="8"/>
  <c r="D32" i="8"/>
  <c r="D30" i="8"/>
  <c r="D5" i="8"/>
  <c r="D6" i="8"/>
  <c r="D7" i="8"/>
  <c r="D8" i="8"/>
  <c r="I22" i="8"/>
  <c r="I23" i="8"/>
  <c r="I24" i="8"/>
  <c r="I25" i="8"/>
  <c r="I26" i="8"/>
  <c r="I27" i="8"/>
  <c r="I28" i="8"/>
  <c r="I29" i="8"/>
  <c r="I30" i="8"/>
  <c r="I31" i="8"/>
  <c r="I21" i="8"/>
  <c r="D22" i="8"/>
  <c r="D23" i="8"/>
  <c r="D24" i="8"/>
  <c r="D25" i="8"/>
  <c r="D26" i="8"/>
  <c r="D27" i="8"/>
  <c r="D28" i="8"/>
  <c r="D29" i="8"/>
  <c r="D21" i="8"/>
  <c r="I6" i="8"/>
  <c r="I7" i="8"/>
  <c r="I8" i="8"/>
  <c r="I9" i="8"/>
  <c r="I10" i="8"/>
  <c r="I11" i="8"/>
  <c r="I12" i="8"/>
  <c r="I13" i="8"/>
  <c r="I5" i="8"/>
  <c r="D9" i="8"/>
  <c r="D10" i="8"/>
  <c r="D11" i="8"/>
  <c r="D12" i="8"/>
  <c r="D13" i="8"/>
  <c r="D14" i="8"/>
  <c r="D15" i="8"/>
  <c r="D16" i="8"/>
  <c r="I47" i="6"/>
  <c r="I48" i="6"/>
  <c r="I49" i="6"/>
  <c r="I50" i="6"/>
  <c r="I51" i="6"/>
  <c r="I52" i="6"/>
  <c r="I53" i="6"/>
  <c r="I54"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6" i="6"/>
  <c r="H7" i="5" l="1"/>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D54" i="5"/>
  <c r="H54" i="5" s="1"/>
  <c r="E54" i="5"/>
  <c r="F54" i="5"/>
  <c r="G54" i="5"/>
  <c r="H6" i="5" l="1"/>
  <c r="E67" i="5" a="1"/>
  <c r="E67" i="5" s="1"/>
  <c r="N8" i="5" a="1"/>
  <c r="N8" i="5" s="1"/>
  <c r="E66" i="5" a="1"/>
  <c r="E66" i="5" s="1"/>
  <c r="F66" i="5" s="1"/>
  <c r="E64" i="5" a="1"/>
  <c r="E64" i="5" s="1"/>
  <c r="F64" i="5" s="1"/>
  <c r="E65" i="5" a="1"/>
  <c r="E65" i="5" s="1"/>
  <c r="E63" i="5" a="1"/>
  <c r="E63" i="5" s="1"/>
  <c r="F63" i="5" l="1"/>
  <c r="D13" i="15" l="1"/>
  <c r="V21" i="15"/>
  <c r="V20" i="15"/>
  <c r="V17" i="15"/>
  <c r="F40" i="15"/>
  <c r="F39" i="15"/>
  <c r="F38" i="15"/>
  <c r="F37" i="15"/>
  <c r="F36" i="15"/>
  <c r="D34" i="15"/>
  <c r="F33" i="15"/>
  <c r="F32" i="15"/>
  <c r="F31" i="15"/>
  <c r="F30" i="15"/>
  <c r="F29" i="15"/>
  <c r="D27" i="15"/>
  <c r="F26" i="15"/>
  <c r="F25" i="15"/>
  <c r="F24" i="15"/>
  <c r="F23" i="15"/>
  <c r="F22" i="15"/>
  <c r="D20" i="15"/>
  <c r="F19" i="15"/>
  <c r="F18" i="15"/>
  <c r="F17" i="15"/>
  <c r="F16" i="15"/>
  <c r="F15" i="15"/>
  <c r="E14" i="15"/>
  <c r="E39" i="15" s="1"/>
  <c r="C14" i="15"/>
  <c r="D39" i="15" s="1"/>
  <c r="B13" i="15"/>
  <c r="F13" i="15" s="1"/>
  <c r="M15" i="15" s="1"/>
  <c r="L18" i="15" l="1"/>
  <c r="E30" i="15"/>
  <c r="D16" i="15"/>
  <c r="D37" i="15"/>
  <c r="L16" i="15"/>
  <c r="D26" i="15"/>
  <c r="E37" i="15"/>
  <c r="D32" i="15"/>
  <c r="D24" i="15"/>
  <c r="E26" i="15"/>
  <c r="D18" i="15"/>
  <c r="E24" i="15"/>
  <c r="E18" i="15"/>
  <c r="E32" i="15"/>
  <c r="D30" i="15"/>
  <c r="D40" i="15"/>
  <c r="D23" i="15"/>
  <c r="E23" i="15"/>
  <c r="E31" i="15"/>
  <c r="E40" i="15"/>
  <c r="D36" i="15"/>
  <c r="E16" i="15"/>
  <c r="L20" i="15"/>
  <c r="D31" i="15"/>
  <c r="E36" i="15"/>
  <c r="E13" i="15"/>
  <c r="L15" i="15" s="1"/>
  <c r="D17" i="15"/>
  <c r="D19" i="15"/>
  <c r="E17" i="15"/>
  <c r="D25" i="15"/>
  <c r="D33" i="15"/>
  <c r="D15" i="15"/>
  <c r="E25" i="15"/>
  <c r="E29" i="15"/>
  <c r="E33" i="15"/>
  <c r="D46" i="15"/>
  <c r="K20" i="15" s="1"/>
  <c r="D38" i="15"/>
  <c r="E19" i="15"/>
  <c r="D29" i="15"/>
  <c r="E38" i="15"/>
  <c r="E15" i="15"/>
  <c r="D22" i="15"/>
  <c r="L17" i="15"/>
  <c r="L19" i="15"/>
  <c r="E22" i="15"/>
  <c r="D28" i="15" l="1"/>
  <c r="K17" i="15" s="1"/>
  <c r="D35" i="15"/>
  <c r="K18" i="15" s="1"/>
  <c r="D43" i="15"/>
  <c r="E46" i="15"/>
  <c r="D21" i="15"/>
  <c r="K16" i="15" s="1"/>
  <c r="E28" i="15"/>
  <c r="F28" i="15"/>
  <c r="M17" i="15" s="1"/>
  <c r="E35" i="15" l="1"/>
  <c r="F35" i="15"/>
  <c r="M18" i="15" s="1"/>
  <c r="E21" i="15"/>
  <c r="F21" i="15"/>
  <c r="M16" i="15" s="1"/>
  <c r="K19" i="15"/>
  <c r="F43" i="15"/>
  <c r="E43" i="15"/>
  <c r="M19" i="15" l="1"/>
  <c r="F46" i="15"/>
  <c r="M20" i="15" s="1"/>
  <c r="I17" i="2" l="1"/>
  <c r="H17" i="2"/>
  <c r="D16" i="2" l="1"/>
  <c r="E16" i="2"/>
  <c r="F16" i="2"/>
  <c r="G16" i="2"/>
  <c r="H16" i="2"/>
  <c r="I16" i="2"/>
  <c r="C16" i="2"/>
  <c r="C8" i="12"/>
  <c r="C23" i="9"/>
  <c r="C22" i="9"/>
  <c r="C21" i="9"/>
  <c r="C20" i="9"/>
  <c r="T11" i="7"/>
  <c r="O29" i="7"/>
  <c r="P29" i="7" s="1"/>
  <c r="O30" i="7"/>
  <c r="P30" i="7" s="1"/>
  <c r="O31" i="7"/>
  <c r="P31" i="7" s="1"/>
  <c r="O32" i="7"/>
  <c r="P32" i="7" s="1"/>
  <c r="O33" i="7"/>
  <c r="P33" i="7" s="1"/>
  <c r="O34" i="7"/>
  <c r="P34" i="7" s="1"/>
  <c r="O35" i="7"/>
  <c r="P35" i="7" s="1"/>
  <c r="O36" i="7"/>
  <c r="P36" i="7" s="1"/>
  <c r="O37" i="7"/>
  <c r="P37" i="7" s="1"/>
  <c r="O38" i="7"/>
  <c r="P38" i="7" s="1"/>
  <c r="O39" i="7"/>
  <c r="P39" i="7" s="1"/>
  <c r="O40" i="7"/>
  <c r="P40" i="7" s="1"/>
  <c r="O41" i="7"/>
  <c r="P41" i="7" s="1"/>
  <c r="O28" i="7"/>
  <c r="P28" i="7" s="1"/>
  <c r="N18" i="8" l="1"/>
  <c r="T13" i="7"/>
  <c r="N6" i="8"/>
  <c r="N14" i="8"/>
  <c r="N10" i="8"/>
  <c r="N8" i="8"/>
  <c r="N4" i="8"/>
  <c r="N12" i="8"/>
  <c r="N16" i="8"/>
  <c r="P21" i="7"/>
  <c r="P20" i="7"/>
  <c r="P19" i="7"/>
  <c r="P18" i="7"/>
  <c r="O17" i="7"/>
  <c r="P17" i="7" s="1"/>
  <c r="P16" i="7"/>
  <c r="P15" i="7"/>
  <c r="P14" i="7"/>
  <c r="P13" i="7"/>
  <c r="P12" i="7"/>
  <c r="P11" i="7"/>
  <c r="P10" i="7"/>
  <c r="J21" i="7"/>
  <c r="J20" i="7"/>
  <c r="J19" i="7"/>
  <c r="J18" i="7"/>
  <c r="I17" i="7"/>
  <c r="J17" i="7" s="1"/>
  <c r="J16" i="7"/>
  <c r="J15" i="7"/>
  <c r="J14" i="7"/>
  <c r="J13" i="7"/>
  <c r="J12" i="7"/>
  <c r="J11" i="7"/>
  <c r="J10" i="7"/>
  <c r="E11" i="7"/>
  <c r="E12" i="7"/>
  <c r="E13" i="7"/>
  <c r="E14" i="7"/>
  <c r="E15" i="7"/>
  <c r="E16" i="7"/>
  <c r="E18" i="7"/>
  <c r="E19" i="7"/>
  <c r="E20" i="7"/>
  <c r="E21" i="7"/>
  <c r="E10" i="7"/>
  <c r="A1" i="7"/>
  <c r="B1" i="7" s="1"/>
  <c r="D17" i="7" s="1"/>
  <c r="E17" i="7" s="1"/>
  <c r="O10" i="5"/>
  <c r="P10" i="6"/>
  <c r="F65" i="5"/>
  <c r="E67" i="6" l="1" a="1"/>
  <c r="E67" i="6" s="1"/>
  <c r="F67" i="6" s="1"/>
  <c r="E66" i="6" a="1"/>
  <c r="E66" i="6" s="1"/>
  <c r="F66" i="6" s="1"/>
  <c r="E64" i="6" a="1"/>
  <c r="E64" i="6" s="1"/>
  <c r="F64" i="6" s="1"/>
  <c r="E65" i="6" a="1"/>
  <c r="E65" i="6" s="1"/>
  <c r="F65" i="6" s="1"/>
  <c r="E63" i="6" a="1"/>
  <c r="E63" i="6" s="1"/>
  <c r="T9" i="7"/>
  <c r="P8" i="5"/>
  <c r="P8" i="6" a="1"/>
  <c r="P8" i="6" s="1"/>
  <c r="Q8" i="6" a="1"/>
  <c r="Q8" i="6" s="1"/>
  <c r="R8" i="6" a="1"/>
  <c r="R8" i="6" s="1"/>
  <c r="O8" i="6" a="1"/>
  <c r="O8" i="6" s="1"/>
  <c r="Q8" i="5"/>
  <c r="O8" i="5"/>
  <c r="F63" i="6" l="1"/>
  <c r="F68" i="6" s="1"/>
  <c r="F71" i="6" s="1"/>
  <c r="S8" i="6" s="1"/>
  <c r="E68" i="6"/>
  <c r="F67" i="5"/>
  <c r="F68" i="5" s="1"/>
  <c r="F71" i="5" s="1"/>
  <c r="R8" i="5" s="1"/>
  <c r="E68" i="5"/>
  <c r="C15" i="3"/>
  <c r="C17" i="3" s="1"/>
  <c r="D17" i="3"/>
  <c r="D5" i="3"/>
  <c r="C17" i="2"/>
  <c r="D17" i="2"/>
  <c r="E17" i="2"/>
  <c r="F17" i="2"/>
  <c r="G17" i="2"/>
  <c r="V19" i="15" l="1"/>
  <c r="V18" i="15"/>
  <c r="V22" i="15" l="1"/>
  <c r="V23" i="15"/>
  <c r="V26" i="15" s="1"/>
  <c r="V27" i="15" s="1"/>
  <c r="V24" i="15"/>
  <c r="V25" i="15" s="1"/>
  <c r="K15" i="15" l="1"/>
  <c r="K23" i="15" l="1"/>
  <c r="V29" i="15" s="1"/>
  <c r="V28" i="15"/>
  <c r="V30" i="15" s="1"/>
  <c r="K24" i="15" s="1"/>
  <c r="K25"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Scott Jardine</author>
  </authors>
  <commentList>
    <comment ref="A27" authorId="0" shapeId="0" xr:uid="{5154DEEF-1C2F-42E5-931D-2CE318A653D7}">
      <text>
        <r>
          <rPr>
            <b/>
            <sz val="9"/>
            <color indexed="81"/>
            <rFont val="Tahoma"/>
            <family val="2"/>
          </rPr>
          <t>ADCC help:</t>
        </r>
        <r>
          <rPr>
            <sz val="9"/>
            <color indexed="81"/>
            <rFont val="Tahoma"/>
            <family val="2"/>
          </rPr>
          <t xml:space="preserve">
We use the heifer liveweight for each month to determine the steer liveweight and liveweight gain. Therefore, on average, how much heavier are the steers compared to the heifers at the same age.  Generally, steers can be 5-10% heavier than their heifer counterparts when 0 to 1 yr olds, and 10-15% heavier when 1 to 2 year olds. If in doubt, we suggest assuming 10% difference. 
For example, at 15 months the heifers are 350 kg and the steers are 400 kg. In this example, 400 / 350 = 1.143, so the steers are 14.3% heavier. Enter 14.3 in the white cell to the right. 
In another example, steers are 530 kg and the heifers are 475 kg, thus 530 / 475 = ~ 1.116 so the steers are 11.6% heavier. In both examples, we used the value after the decimal point. Enter 11.6 in the white cell to the right.
DO NOT enter the values 1.143 or 1.116 as in the above examples as this assumes only a 1% increase.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Scott Jardine</author>
  </authors>
  <commentList>
    <comment ref="C13" authorId="0" shapeId="0" xr:uid="{29414844-44E7-4FE0-92C5-585467C3B1A4}">
      <text>
        <r>
          <rPr>
            <sz val="9"/>
            <color indexed="81"/>
            <rFont val="Tahoma"/>
            <family val="2"/>
          </rPr>
          <t>Note: Leave this cell until last - the Expected total kg DM/day cell will indicate feed gap based on other known feed inputs.</t>
        </r>
      </text>
    </comment>
    <comment ref="A41" authorId="0" shapeId="0" xr:uid="{0A4DF7B4-ABB4-46A6-ABDD-C6730546081C}">
      <text>
        <r>
          <rPr>
            <sz val="9"/>
            <color indexed="81"/>
            <rFont val="Tahoma"/>
            <family val="2"/>
          </rPr>
          <t>Note: "By-products - other" must be entered in as kg dry matter per day</t>
        </r>
      </text>
    </comment>
    <comment ref="A44" authorId="0" shapeId="0" xr:uid="{57FC6C87-63FD-49F4-B661-63540DBF15C1}">
      <text>
        <r>
          <rPr>
            <b/>
            <sz val="9"/>
            <color indexed="81"/>
            <rFont val="Tahoma"/>
            <family val="2"/>
          </rPr>
          <t xml:space="preserve">ADCC help: 
</t>
        </r>
        <r>
          <rPr>
            <sz val="9"/>
            <color indexed="81"/>
            <rFont val="Tahoma"/>
            <family val="2"/>
          </rPr>
          <t>Other feed must be enetered as kg Dry Matter per day.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Scott Jardine</author>
  </authors>
  <commentList>
    <comment ref="B11" authorId="0" shapeId="0" xr:uid="{A8DC20A4-607E-4930-B554-8A7A3DA7F86E}">
      <text>
        <r>
          <rPr>
            <b/>
            <sz val="9"/>
            <color indexed="81"/>
            <rFont val="Tahoma"/>
            <family val="2"/>
          </rPr>
          <t xml:space="preserve">ADCC Help: 
</t>
        </r>
        <r>
          <rPr>
            <sz val="9"/>
            <color indexed="81"/>
            <rFont val="Tahoma"/>
            <family val="2"/>
          </rPr>
          <t xml:space="preserve">Generally the amount of solids removed via weeping walls and solids traps is in the 10-30% range. However, in large intensive dairy systems with modern methods of separating solids from liquids, the percentage may be as high as 40-50% if that manure is then stored to dry. If it is being saturated daily, then the manure is remaining in an anaerobic state for much of the day and so the percentage is lower.  
We suggest you implement 20% (which is the default if you don't answer this question), unless you have good evidence to support a higher value.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<sst xmlns="http://schemas.openxmlformats.org/spreadsheetml/2006/main" count="872" uniqueCount="498">
  <si>
    <t>Dairy Australia Australian Dairy Carbon Calculator data collection tool Version 1.3</t>
  </si>
  <si>
    <t xml:space="preserve">Password: </t>
  </si>
  <si>
    <t>DairyAustralia</t>
  </si>
  <si>
    <t>Version 1.3</t>
  </si>
  <si>
    <t>Update</t>
  </si>
  <si>
    <t>Removed password protection from Livestock data entry cells - retained in error</t>
  </si>
  <si>
    <t>Included average liveweight calculation for single data value for all stock classes - data entry cell for milkers, calculated average liveweight for all other stock classes</t>
  </si>
  <si>
    <t>Version 1.2</t>
  </si>
  <si>
    <t>Guidance notes consistent with Australian Dairy Carbon Calculator data collection sheet print version</t>
  </si>
  <si>
    <t>This datasheet can help to compile the information you will need to complete your farm carbon calculation using the Australian Dairy Carbon Calculator (ADCC)</t>
  </si>
  <si>
    <t>Instructions: As you progress through the data collection tool, enter data as required into yellow cells only.
Cells may become active (yellow) or inactive (white) based on data entered earlier in the sheet. It is important that you complete worksheets from the top down.
To navigate between worksheets, you can use the Blue "Next Sheet", "Previous Sheet", or "Index" hyperlinks. To jump to a particular sheet, use the Index hyperlinks below, or select the relevant tab at the bottom of your screen.
To reset a sheet to its original blank state, press the "Clear input cells" button on the relevant sheet. This will permanently delete any previously entered data.</t>
  </si>
  <si>
    <t>Section</t>
  </si>
  <si>
    <t>Sheet name</t>
  </si>
  <si>
    <t>Farm details</t>
  </si>
  <si>
    <t>Livestock</t>
  </si>
  <si>
    <t>Milk production</t>
  </si>
  <si>
    <t>Diet</t>
  </si>
  <si>
    <t>Fertilisers - total tonnes</t>
  </si>
  <si>
    <t>Or</t>
  </si>
  <si>
    <t>Fertilisers - kg/ha</t>
  </si>
  <si>
    <t>Energy Consumption</t>
  </si>
  <si>
    <t>Purchased Supplements</t>
  </si>
  <si>
    <t>Effluent</t>
  </si>
  <si>
    <t>Trees</t>
  </si>
  <si>
    <r>
      <rPr>
        <b/>
        <sz val="12"/>
        <color theme="5"/>
        <rFont val="Aptos"/>
        <family val="2"/>
      </rPr>
      <t>Important information:</t>
    </r>
    <r>
      <rPr>
        <sz val="12"/>
        <color theme="1"/>
        <rFont val="Aptos"/>
        <family val="2"/>
      </rPr>
      <t xml:space="preserve"> </t>
    </r>
    <r>
      <rPr>
        <sz val="12"/>
        <color theme="0"/>
        <rFont val="Aptos"/>
        <family val="2"/>
      </rPr>
      <t>download this Excel file to a computer desktop or document folder and enable the macros. 
If the macros are not enabled, follow these steps:</t>
    </r>
  </si>
  <si>
    <t>• Close the file.</t>
  </si>
  <si>
    <t>• Find the file in the saved location/folder.</t>
  </si>
  <si>
    <t>• Right click on the file and select Properties.</t>
  </si>
  <si>
    <t>• At the bottom of the General tab, tick the Unblock checkbox and select Apply and then OK.</t>
  </si>
  <si>
    <t>• Open the file.</t>
  </si>
  <si>
    <t>If the above did not enable the macros, follow these steps:</t>
  </si>
  <si>
    <r>
      <rPr>
        <sz val="12"/>
        <color theme="0"/>
        <rFont val="Aptos Narrow"/>
        <family val="2"/>
      </rPr>
      <t xml:space="preserve">• </t>
    </r>
    <r>
      <rPr>
        <sz val="12"/>
        <color theme="0"/>
        <rFont val="Aptos"/>
        <family val="2"/>
      </rPr>
      <t>Open the file.</t>
    </r>
  </si>
  <si>
    <t>• Go to File &gt; Options &gt; Trust Center &gt; Trust Center Settings &gt; Trusted Locations.</t>
  </si>
  <si>
    <t>• Add the saved location/folder (this tells Excel that it is safe to run macros from that location).</t>
  </si>
  <si>
    <t>Financial year (eg FY25 or 24/25)</t>
  </si>
  <si>
    <t>Victoria</t>
  </si>
  <si>
    <t>Australia-wide</t>
  </si>
  <si>
    <t>Data collector name</t>
  </si>
  <si>
    <t>New.South.Wales</t>
  </si>
  <si>
    <t>Property name</t>
  </si>
  <si>
    <t>Tasmania</t>
  </si>
  <si>
    <t>Victoria- Gippsland</t>
  </si>
  <si>
    <t>State</t>
  </si>
  <si>
    <t>Queensland</t>
  </si>
  <si>
    <t>Victoria- Northern</t>
  </si>
  <si>
    <t>Region</t>
  </si>
  <si>
    <t>South.Australia</t>
  </si>
  <si>
    <t>Victoria- South West</t>
  </si>
  <si>
    <t>Comparison region or system</t>
  </si>
  <si>
    <t>Western.Australia</t>
  </si>
  <si>
    <t>New South Wales</t>
  </si>
  <si>
    <t>NSW- North</t>
  </si>
  <si>
    <t>Back to index</t>
  </si>
  <si>
    <t>Next sheet</t>
  </si>
  <si>
    <t>NSW- South</t>
  </si>
  <si>
    <t>QLD- North</t>
  </si>
  <si>
    <t>QLD- South</t>
  </si>
  <si>
    <t>South Australia</t>
  </si>
  <si>
    <t>Western Australia</t>
  </si>
  <si>
    <t>Low grain (&lt; 1 t DM/cow.annum)</t>
  </si>
  <si>
    <t>Medium grain (1-2 t DM/cow.annum)</t>
  </si>
  <si>
    <t>High grain (&gt; 2 t DM/cow.annum)</t>
  </si>
  <si>
    <t>Mallee region VIC</t>
  </si>
  <si>
    <t>Northern coastal NSW</t>
  </si>
  <si>
    <t>North East TAS</t>
  </si>
  <si>
    <t>Northern QLD</t>
  </si>
  <si>
    <t>South East SA</t>
  </si>
  <si>
    <t>South West WA</t>
  </si>
  <si>
    <t>Northern region VIC</t>
  </si>
  <si>
    <t>Southern coastal NSW</t>
  </si>
  <si>
    <t>Central North &amp; Midlands TAS</t>
  </si>
  <si>
    <t>Southern QLD</t>
  </si>
  <si>
    <t>Murray River SA</t>
  </si>
  <si>
    <t>North East region VIC</t>
  </si>
  <si>
    <t>Central Inland &amp; Riverina NSW</t>
  </si>
  <si>
    <t>Southern TAS</t>
  </si>
  <si>
    <t>East Gippsland</t>
  </si>
  <si>
    <t>North West TAS</t>
  </si>
  <si>
    <t>South &amp; West Gippsland</t>
  </si>
  <si>
    <t>South West VIC</t>
  </si>
  <si>
    <t>Livestock data</t>
  </si>
  <si>
    <t>Note that milking cows is the number of cows milked for a minimum of two months over the assessment period, which may be greater than your average milking herd size. If you retain some or all of your non-replacement calves (heifers and bulls/steers) beyond post-weaning, these need to be recorded in the 'other stock' column. If you sell separate groups of stock (within the same class) at different times throughout the year, record separately in the Other Stock table beneath the main data table.
The last two columns are for calves that are sold soon after birth or sold post weaning at around 100kg live weight.
Typical live weight gain is between 0.6 and 0.75 kg per day depending on the breed, with Jerseys at the lower end and large-framed Holstein Friesians (&gt;600 kg) at the upper range.</t>
  </si>
  <si>
    <t>Milking cows</t>
  </si>
  <si>
    <t>Replacement heifers &gt;1 yr of age (13+ months old)</t>
  </si>
  <si>
    <t>Replacement heifers 1-12 months old</t>
  </si>
  <si>
    <t>Mature bulls</t>
  </si>
  <si>
    <t>Other stock 1-12 months old (young bulls, steers or non-replacements)</t>
  </si>
  <si>
    <t>Other stock 13+ months old
(young bulls, steers or non-replacements)</t>
  </si>
  <si>
    <t>Calves sold soon after birth
(1-2 weeks)</t>
  </si>
  <si>
    <t>Calves sold post-weaning
(~100kg liveweight)</t>
  </si>
  <si>
    <t>Number of animals</t>
  </si>
  <si>
    <t>Average liveweight at start of year</t>
  </si>
  <si>
    <t>Average liveweight at end of year</t>
  </si>
  <si>
    <t>Average liveweight</t>
  </si>
  <si>
    <t>Daily liveweight gain
(kg/day)</t>
  </si>
  <si>
    <t>Number sold</t>
  </si>
  <si>
    <t>Average liveweight when sold</t>
  </si>
  <si>
    <t>Other stock</t>
  </si>
  <si>
    <t>Mature cow liveweight</t>
  </si>
  <si>
    <t>Relative weight advantage of steers vs heifers</t>
  </si>
  <si>
    <t>Less than 1 year old heifers</t>
  </si>
  <si>
    <t>Less than 1 year old steers</t>
  </si>
  <si>
    <t>Older than 1 year old heifers</t>
  </si>
  <si>
    <t>Older than 1 year old steers</t>
  </si>
  <si>
    <t>Mob 1</t>
  </si>
  <si>
    <t>Mob 2</t>
  </si>
  <si>
    <t>Mob 3</t>
  </si>
  <si>
    <t>Mob 4</t>
  </si>
  <si>
    <t>Retained Stock</t>
  </si>
  <si>
    <t>Previous sheet</t>
  </si>
  <si>
    <t>Recording as litres or kg milk solids?</t>
  </si>
  <si>
    <t>Litres</t>
  </si>
  <si>
    <t>Annual milk production
(From milk supply statement)</t>
  </si>
  <si>
    <t>kg MS</t>
  </si>
  <si>
    <t>Average fat %</t>
  </si>
  <si>
    <t>Average protein %</t>
  </si>
  <si>
    <t>Average lactation length (days)</t>
  </si>
  <si>
    <t>Do you feed calves milk from the vat? 
(excludes colostrum and hospital herd milk)</t>
  </si>
  <si>
    <t>Yes</t>
  </si>
  <si>
    <t>Number of calves fed milk from vat</t>
  </si>
  <si>
    <t>No</t>
  </si>
  <si>
    <t>Number of days</t>
  </si>
  <si>
    <t>Litres per day or litres per calf?</t>
  </si>
  <si>
    <t>Litres per day</t>
  </si>
  <si>
    <t>Litres per calf</t>
  </si>
  <si>
    <t>Total calf milk</t>
  </si>
  <si>
    <t>Total annual milk production</t>
  </si>
  <si>
    <t>Milker average diet intake and quality</t>
  </si>
  <si>
    <t>This data is used to estimate the milking cows average dry matter digestibility and crude protein % based on the intakes of all feeds and their corresponding DMD and CP%.
The calculator will determine average daily intake, and thus methane production,  using average diet DMD%, liveweight, milk production etc.</t>
  </si>
  <si>
    <t>You can enter in your feed energy as either metabolisable energy (ME) or dry matter digestability percentage (DMD%). The summary section will convert ME to DMD%</t>
  </si>
  <si>
    <t>If you know all of your feed quality values, you can enter them into the table, otherwise you can select "Use averages" to use the average values for common feeds from the Agriculture Victoria FEEDTEST datasource.</t>
  </si>
  <si>
    <t>As fed (kg/day)</t>
  </si>
  <si>
    <t>kg/day</t>
  </si>
  <si>
    <t>Dry matter (kgDM/day)</t>
  </si>
  <si>
    <t>kgDM/day</t>
  </si>
  <si>
    <t>I want to record milker diet as kg/day as fed or kg DM/day</t>
  </si>
  <si>
    <t>I want to record my diet energy as metabolisable energy or dry matter digestability percentage</t>
  </si>
  <si>
    <t>ME</t>
  </si>
  <si>
    <t>Do you know your feed quality or want to use average figures?</t>
  </si>
  <si>
    <t>DMD%</t>
  </si>
  <si>
    <t>I know my feed quality</t>
  </si>
  <si>
    <t>kg DM/day</t>
  </si>
  <si>
    <t>CP%</t>
  </si>
  <si>
    <t>Use averages</t>
  </si>
  <si>
    <t>Pastures</t>
  </si>
  <si>
    <t>Summary for inputting into ADCC</t>
  </si>
  <si>
    <t>Dry matter %</t>
  </si>
  <si>
    <t>Dry Matter Digestibility %</t>
  </si>
  <si>
    <t>Crude protein %</t>
  </si>
  <si>
    <t>Feed type</t>
  </si>
  <si>
    <t>Feed name</t>
  </si>
  <si>
    <t>Grain/concentrate 1</t>
  </si>
  <si>
    <t>Grains/ concentrates</t>
  </si>
  <si>
    <t>Average</t>
  </si>
  <si>
    <t>Range</t>
  </si>
  <si>
    <t>Grain/concentrate 2</t>
  </si>
  <si>
    <t>Grain/concentrate</t>
  </si>
  <si>
    <t>Barley grain</t>
  </si>
  <si>
    <t>Grain/concentrate 3</t>
  </si>
  <si>
    <t>Silage</t>
  </si>
  <si>
    <t>Lupin seed</t>
  </si>
  <si>
    <t>Grain/concentrate 4</t>
  </si>
  <si>
    <t>Hay</t>
  </si>
  <si>
    <t>Litres per annum</t>
  </si>
  <si>
    <t>Maize grain</t>
  </si>
  <si>
    <t>Grain/concentrate 5</t>
  </si>
  <si>
    <t>By-products</t>
  </si>
  <si>
    <t>MS per annum</t>
  </si>
  <si>
    <t>Oats</t>
  </si>
  <si>
    <t>Grain/concentrate  - other</t>
  </si>
  <si>
    <t>Other</t>
  </si>
  <si>
    <t>Fat %</t>
  </si>
  <si>
    <t>Sorghum grain</t>
  </si>
  <si>
    <t>Grain/concentrates total</t>
  </si>
  <si>
    <t>Protein %</t>
  </si>
  <si>
    <t>Soyabean meal</t>
  </si>
  <si>
    <t>Silage 1</t>
  </si>
  <si>
    <t>DGAS estimated kg MS if litres entered</t>
  </si>
  <si>
    <t>Sunflower meal</t>
  </si>
  <si>
    <t>Silage 2</t>
  </si>
  <si>
    <t>Entered total kg DM/day</t>
  </si>
  <si>
    <t>DGAS estimated litres per annum</t>
  </si>
  <si>
    <t>Triticale grain</t>
  </si>
  <si>
    <t>Silage 3</t>
  </si>
  <si>
    <t>Expected total kg DM/day</t>
  </si>
  <si>
    <t>FPCM (kg per annum; IDF equation)</t>
  </si>
  <si>
    <t>Turnip tops*</t>
  </si>
  <si>
    <t>Silage 4</t>
  </si>
  <si>
    <t>Feed gap - use to estimate pasture intake</t>
  </si>
  <si>
    <t>kg milk per cow per day</t>
  </si>
  <si>
    <t>Turnip bulbs*</t>
  </si>
  <si>
    <t>Silage 5</t>
  </si>
  <si>
    <t>Next sheet - Fertilisers total tonnes</t>
  </si>
  <si>
    <t>litres per cow per day</t>
  </si>
  <si>
    <t>Wheat grain</t>
  </si>
  <si>
    <t>Silage - other</t>
  </si>
  <si>
    <t>Next sheet - Fertilisers kg/ha</t>
  </si>
  <si>
    <t>kg MS per cow per day</t>
  </si>
  <si>
    <t>Silage total</t>
  </si>
  <si>
    <t>Average DMD</t>
  </si>
  <si>
    <t>Hay 1</t>
  </si>
  <si>
    <t>Average CP</t>
  </si>
  <si>
    <t>Hay 2</t>
  </si>
  <si>
    <t>Average intake required</t>
  </si>
  <si>
    <t>Silages</t>
  </si>
  <si>
    <t>Hay 3</t>
  </si>
  <si>
    <t>Barley silage</t>
  </si>
  <si>
    <t>Hay 4</t>
  </si>
  <si>
    <t>Clover silage generic</t>
  </si>
  <si>
    <t>Hay 5</t>
  </si>
  <si>
    <t>Grass silage</t>
  </si>
  <si>
    <t>Hay - other</t>
  </si>
  <si>
    <t xml:space="preserve">Legume/grass silage (legume dom.) </t>
  </si>
  <si>
    <t>Hay total</t>
  </si>
  <si>
    <t xml:space="preserve">Legume/grass silage (grass dom.) </t>
  </si>
  <si>
    <t>By-products 1</t>
  </si>
  <si>
    <t>Lucerne silage</t>
  </si>
  <si>
    <t>By-products 2</t>
  </si>
  <si>
    <t>Maize silage</t>
  </si>
  <si>
    <t>By-products 3</t>
  </si>
  <si>
    <t>Oaten silage</t>
  </si>
  <si>
    <t>By-products 4</t>
  </si>
  <si>
    <t>Pasture silage</t>
  </si>
  <si>
    <t>By-products 5</t>
  </si>
  <si>
    <t>Persian clover silage</t>
  </si>
  <si>
    <t>By-products - other 1</t>
  </si>
  <si>
    <t>Subclover silage</t>
  </si>
  <si>
    <t>By-products - other 2</t>
  </si>
  <si>
    <t>Triticale silage</t>
  </si>
  <si>
    <t>By-products total</t>
  </si>
  <si>
    <t>Wheat silage</t>
  </si>
  <si>
    <t>Other feed 1</t>
  </si>
  <si>
    <t>Other feed 2</t>
  </si>
  <si>
    <t>Hays</t>
  </si>
  <si>
    <t>Other feed total</t>
  </si>
  <si>
    <t>Barley hay</t>
  </si>
  <si>
    <t>Barley straw</t>
  </si>
  <si>
    <t>Clover hay generic</t>
  </si>
  <si>
    <t>Grass hay</t>
  </si>
  <si>
    <t>Lucerne hay</t>
  </si>
  <si>
    <t>Lucerne straw</t>
  </si>
  <si>
    <t>Oaten hay</t>
  </si>
  <si>
    <t>Oaten straw</t>
  </si>
  <si>
    <t>Pasture hay</t>
  </si>
  <si>
    <t>Persian clover hay</t>
  </si>
  <si>
    <t>Rice straw</t>
  </si>
  <si>
    <t>Subclover hay</t>
  </si>
  <si>
    <t>Triticale hay</t>
  </si>
  <si>
    <t>Triticale straw</t>
  </si>
  <si>
    <t>Wheat hay</t>
  </si>
  <si>
    <t>Byproducts</t>
  </si>
  <si>
    <t>Brewer's grain</t>
  </si>
  <si>
    <t>Carrot pulp</t>
  </si>
  <si>
    <t>Canola meal</t>
  </si>
  <si>
    <t>Citrus pulp</t>
  </si>
  <si>
    <t>Cottonseed meal</t>
  </si>
  <si>
    <t>Grape marc</t>
  </si>
  <si>
    <t>Molasses</t>
  </si>
  <si>
    <t>Rice bran</t>
  </si>
  <si>
    <t>Tomato pulp</t>
  </si>
  <si>
    <t>Wheat bran</t>
  </si>
  <si>
    <t>Whey</t>
  </si>
  <si>
    <t>Data Source: FEEDTEST, DPI, Victoria</t>
  </si>
  <si>
    <t>Record total tonnes applied fertiliser</t>
  </si>
  <si>
    <t>Brand</t>
  </si>
  <si>
    <t xml:space="preserve">       Composition (%)</t>
  </si>
  <si>
    <t>Note: do not include any fertiliser purchased but not spread during this financial year - this needs to be accounted for in its year of application</t>
  </si>
  <si>
    <t>Fertiliser name</t>
  </si>
  <si>
    <t>Composition %</t>
  </si>
  <si>
    <t>N</t>
  </si>
  <si>
    <t>P</t>
  </si>
  <si>
    <t>K</t>
  </si>
  <si>
    <t>S</t>
  </si>
  <si>
    <t>Tonnes applied</t>
  </si>
  <si>
    <t>%N from Urea</t>
  </si>
  <si>
    <t>Outputs to enter into ADCC</t>
  </si>
  <si>
    <t>Di-ammonium phosphate</t>
  </si>
  <si>
    <t>Dolomite</t>
  </si>
  <si>
    <t>% N from Urea</t>
  </si>
  <si>
    <t>Double Superphosphate</t>
  </si>
  <si>
    <t>Total tonnes</t>
  </si>
  <si>
    <t>Dynamic Lifter</t>
  </si>
  <si>
    <t>Easy-N (UAN) - enter litres</t>
  </si>
  <si>
    <t>Total tonnes lime/dolomite</t>
  </si>
  <si>
    <t>Gold Phos 10</t>
  </si>
  <si>
    <t>Gold Phos 20</t>
  </si>
  <si>
    <t>Hi-Fert 0:20:0</t>
  </si>
  <si>
    <t>Lime</t>
  </si>
  <si>
    <t>Mono-ammonium phosphate</t>
  </si>
  <si>
    <t>PastureBoosta</t>
  </si>
  <si>
    <t>Pasture Builder</t>
  </si>
  <si>
    <t>Pasture Gold</t>
  </si>
  <si>
    <t>Pasture Gold 3:1</t>
  </si>
  <si>
    <t>Pasture Gold 4:1</t>
  </si>
  <si>
    <t>Pasture Phos</t>
  </si>
  <si>
    <t>Pastursul</t>
  </si>
  <si>
    <t>Potassium Chloride</t>
  </si>
  <si>
    <t>Poultry litter*</t>
  </si>
  <si>
    <t xml:space="preserve">Single Superphosphate </t>
  </si>
  <si>
    <t>Sulphate of Ammonia</t>
  </si>
  <si>
    <t>Sulphate of Potash</t>
  </si>
  <si>
    <t>Super Potash 1 &amp; 1</t>
  </si>
  <si>
    <t>Super Potash 2 &amp; 1</t>
  </si>
  <si>
    <t>Super Potash 3 &amp; 1</t>
  </si>
  <si>
    <t>Super Potash 4 &amp; 1</t>
  </si>
  <si>
    <t>Super Potash 5 &amp; 1</t>
  </si>
  <si>
    <t xml:space="preserve">Triple Superphosphate </t>
  </si>
  <si>
    <t>Urea</t>
  </si>
  <si>
    <t>UreaS</t>
  </si>
  <si>
    <t>Custom Blend</t>
  </si>
  <si>
    <t>Estimation of percentage of total N fertiliser that is urea-based</t>
  </si>
  <si>
    <t>% N that is urea</t>
  </si>
  <si>
    <t>tonnes N</t>
  </si>
  <si>
    <t>tonnes N as urea</t>
  </si>
  <si>
    <t>Urea-N ferts</t>
  </si>
  <si>
    <t>All other fertilisers</t>
  </si>
  <si>
    <t>Total</t>
  </si>
  <si>
    <t>% of N fertiliser that is urea-N</t>
  </si>
  <si>
    <t>Record kilograms fertiliser applied per hectare</t>
  </si>
  <si>
    <t>Application rate</t>
  </si>
  <si>
    <t>Hectares</t>
  </si>
  <si>
    <t>Kg/ha</t>
  </si>
  <si>
    <t>UreaS (50:50 split)</t>
  </si>
  <si>
    <t>Electricity use</t>
  </si>
  <si>
    <t>Please record the electricity used in all parts of the dairy farming operation, including milking, other sheds,irrigation, electric fencing etc</t>
  </si>
  <si>
    <t>If houses are on a separate meter to the dairy, do not include any house/worker accommodation power usage</t>
  </si>
  <si>
    <t>While different energy provider bills vary in how they present the information, most will provide average daily kWh. If your bill is structured differently, please ensure you convert to daily average use</t>
  </si>
  <si>
    <t>Note: Financial year must be entered into the Farm details tab prior to completing this section</t>
  </si>
  <si>
    <t>Dairy meter</t>
  </si>
  <si>
    <t>Meter 2</t>
  </si>
  <si>
    <t>Meter 3</t>
  </si>
  <si>
    <t>Data to enter into ADCC</t>
  </si>
  <si>
    <t>Chemical spraying</t>
  </si>
  <si>
    <t>Fertilising</t>
  </si>
  <si>
    <t>Month</t>
  </si>
  <si>
    <t>Average daily kWh</t>
  </si>
  <si>
    <t>Days</t>
  </si>
  <si>
    <t>kWh/month</t>
  </si>
  <si>
    <t>Total electricity use</t>
  </si>
  <si>
    <t>kWh</t>
  </si>
  <si>
    <t>Rolling</t>
  </si>
  <si>
    <t>July</t>
  </si>
  <si>
    <t>Hay raking</t>
  </si>
  <si>
    <t>August</t>
  </si>
  <si>
    <t>Total fuel use</t>
  </si>
  <si>
    <t>Teddering</t>
  </si>
  <si>
    <t>September</t>
  </si>
  <si>
    <t>Light harrows</t>
  </si>
  <si>
    <t>October</t>
  </si>
  <si>
    <t>Contractor fuel use</t>
  </si>
  <si>
    <t>Direct drilling</t>
  </si>
  <si>
    <t>November</t>
  </si>
  <si>
    <t>Sowing</t>
  </si>
  <si>
    <t>December</t>
  </si>
  <si>
    <t>Mowing</t>
  </si>
  <si>
    <t>January</t>
  </si>
  <si>
    <t>Silage wrapping</t>
  </si>
  <si>
    <t>February</t>
  </si>
  <si>
    <t>Power harrows</t>
  </si>
  <si>
    <t>March</t>
  </si>
  <si>
    <t>Discing</t>
  </si>
  <si>
    <t>April</t>
  </si>
  <si>
    <t>Previous - Fertilisers total tonnes</t>
  </si>
  <si>
    <t>Baling silage</t>
  </si>
  <si>
    <t>May</t>
  </si>
  <si>
    <t>Previous - Fertilisers kg/ha</t>
  </si>
  <si>
    <t>Baling hay</t>
  </si>
  <si>
    <t>June</t>
  </si>
  <si>
    <t>Harvesting (eg. Maize silage)</t>
  </si>
  <si>
    <t>Ploughing (light eg friable sandy loam)</t>
  </si>
  <si>
    <t>Ploughing (moderate eg loamy clay)</t>
  </si>
  <si>
    <t>For estimating all fuel consumed, we must also consider any contractor activities that occur on farm where fuel use
was not reported above. Please select the activity from the dropdown list any activities that were completed by a contractor on farm and enter the hectares.</t>
  </si>
  <si>
    <t>Ploughing (heavy eg wet heavy clay)</t>
  </si>
  <si>
    <t>Tillage (light)</t>
  </si>
  <si>
    <t>Diesel</t>
  </si>
  <si>
    <t>ULP</t>
  </si>
  <si>
    <t>Tillage (moderate)</t>
  </si>
  <si>
    <t>Activity</t>
  </si>
  <si>
    <t>L/ha</t>
  </si>
  <si>
    <t>Tillage (heavy)</t>
  </si>
  <si>
    <t>Purchased feed</t>
  </si>
  <si>
    <t>Provide detail on purchased feed/supplements that have been fed out this year to all classes of stock, and the percentage fed to the milking herd.
Please enter all values as total tonnes (not tonnes dry matter)</t>
  </si>
  <si>
    <t>Grains and concentrates</t>
  </si>
  <si>
    <t>Tonnes purchased</t>
  </si>
  <si>
    <t>Tonnes DM</t>
  </si>
  <si>
    <t>% fed on milking platform</t>
  </si>
  <si>
    <t>Purchased pasture, cereal, lucerne or legume hay (t DM)</t>
  </si>
  <si>
    <t>t DM</t>
  </si>
  <si>
    <t>Milker pellets</t>
  </si>
  <si>
    <t>Lead feed</t>
  </si>
  <si>
    <t>Percentage of purchased hay fed on the milking platform</t>
  </si>
  <si>
    <t>%</t>
  </si>
  <si>
    <t>Calf pellets</t>
  </si>
  <si>
    <t>Purchased grain and concentrates (t DM)</t>
  </si>
  <si>
    <t>Percentage of purchased grain &amp; concentrates fed on the milking platform</t>
  </si>
  <si>
    <t>Purchased pasture, cereal or maize silage (t DM)</t>
  </si>
  <si>
    <t>Other hay 1</t>
  </si>
  <si>
    <t>Percentage of purchased silage fed on the milking platform</t>
  </si>
  <si>
    <t>Other hay 2</t>
  </si>
  <si>
    <t>Other concentrates</t>
  </si>
  <si>
    <t>Other hay 3</t>
  </si>
  <si>
    <t>Purchased by-products (t DM)</t>
  </si>
  <si>
    <t>Percentage of purchased by-products fed on the milking platform</t>
  </si>
  <si>
    <t>Other silage 1</t>
  </si>
  <si>
    <t>Other silage 2</t>
  </si>
  <si>
    <t>Other silage 3</t>
  </si>
  <si>
    <t>Other by-products</t>
  </si>
  <si>
    <t>Manure management</t>
  </si>
  <si>
    <t>The ADCC does provide an option to use default state based factors and fractions for effluent management. This is applicable to dairies where the cows spend roughly 2-4 hours per day on the dairy, with little other time off paddocks or with effluent management interventions such as solids separation. If this is the case for your farm, you may consider selecting "Default state based factors and fractions" on the ADCC.
It is important to understand that while the default values can be approximately representative, it is encouraged that you record actual figures to ensure your calculation is as representative, and as a result actionable as possible.
If all ‘other stock’ classes also spend a proportion of time off-paddock (i.e. mostly only relevant for fully-housed TMR farms, not because you have them yarded occasionally for treatment, weighing, pre-testing etc.), you will also need to answer questions about how the manure from these animals is handled. However, if these animals are outdoors year round, leave the questions for these blank so the default 100% of manure deposited onto paddocks remains activated.</t>
  </si>
  <si>
    <t>Hours</t>
  </si>
  <si>
    <t>Number of hours per day and days per annum a milker spends at the dairy and adjacent yards where the waste is flushed with water</t>
  </si>
  <si>
    <t xml:space="preserve">Percentage of waste that is flushed and then drains to the paddock with no treatment/ removal of solids </t>
  </si>
  <si>
    <t>Flushed &amp; drains daily to the paddock</t>
  </si>
  <si>
    <t>Percentage of waste that is flushed and then spread daily from a sump/dispersal system (with or without removal of solids)</t>
  </si>
  <si>
    <t>Flushed &amp; spread daily from a sump</t>
  </si>
  <si>
    <t>Balance assumed to be flushed and then enter a pond/lagoon system</t>
  </si>
  <si>
    <t>Flushed to a pond/lagoon system</t>
  </si>
  <si>
    <t xml:space="preserve">Scraped &amp; stockpiled </t>
  </si>
  <si>
    <t>Do you pre-treat the waste prior to spreading daily from a sump system or entering the lagoon (e.g. weeping wall, solids trap, mechanical separator to remove a fraction of the solids)?</t>
  </si>
  <si>
    <t>If yes, what percentage of the waste is removed via the pre-treatment process?</t>
  </si>
  <si>
    <t xml:space="preserve">Number of hours per day and days per annum a milker spend on a feedpad or loafing area or are housed (TMR farm) </t>
  </si>
  <si>
    <t>Days per annum</t>
  </si>
  <si>
    <t>Select the option which best describes how the majority of this waste from the feedpad or loafing area is best handled</t>
  </si>
  <si>
    <t>All other stock</t>
  </si>
  <si>
    <t>Select which stock are present on a feedpad or loafing pad</t>
  </si>
  <si>
    <t>Heifers &gt;1 yr age</t>
  </si>
  <si>
    <t>Heifers &lt; 1 yr age</t>
  </si>
  <si>
    <t>Other stock &lt; 1 yr age</t>
  </si>
  <si>
    <t>Other stock &gt; 1 yr age</t>
  </si>
  <si>
    <t>Hours per day on the feedpad or loafing area</t>
  </si>
  <si>
    <t>Days per annum on the feedpad of loafing area</t>
  </si>
  <si>
    <t>Select the option which best describes how this waste from the feedpad or loafing area is best handled</t>
  </si>
  <si>
    <t>Lookup formula:</t>
  </si>
  <si>
    <t>OFFSET($S$3,MATCH($C$3,$S$4:$S$21,0),5,COUNTIF($S$4:$S$21,$C$3),6)</t>
  </si>
  <si>
    <t>Provide details of any planted trees on the farm. Priority should be given to areas of trees planted in the last 25 years</t>
  </si>
  <si>
    <t>Select your Rainfall Region</t>
  </si>
  <si>
    <t>State/Territory</t>
  </si>
  <si>
    <t>Rainfall region</t>
  </si>
  <si>
    <t>R</t>
  </si>
  <si>
    <t>S1</t>
  </si>
  <si>
    <t>S2</t>
  </si>
  <si>
    <t>T1</t>
  </si>
  <si>
    <t>T2</t>
  </si>
  <si>
    <t>T3</t>
  </si>
  <si>
    <t>T4</t>
  </si>
  <si>
    <t>T5</t>
  </si>
  <si>
    <t>T6</t>
  </si>
  <si>
    <t>Sandy Duplexes</t>
  </si>
  <si>
    <t>Mixed species (Environmental Plantings)</t>
  </si>
  <si>
    <t>Tasmanian Blue Gum</t>
  </si>
  <si>
    <t>Sydney Blue Gum</t>
  </si>
  <si>
    <t>Maritime Pine</t>
  </si>
  <si>
    <t>Pinus Radiata</t>
  </si>
  <si>
    <t>No tree data available</t>
  </si>
  <si>
    <t>Area</t>
  </si>
  <si>
    <t>Area (ha)</t>
  </si>
  <si>
    <t>Age of trees</t>
  </si>
  <si>
    <t>Species of trees</t>
  </si>
  <si>
    <t>Clay &amp; Red Loam</t>
  </si>
  <si>
    <t>Spotted Gum</t>
  </si>
  <si>
    <t>Dunn's White Gum</t>
  </si>
  <si>
    <t>Flooded Gum</t>
  </si>
  <si>
    <t>Slash Pine</t>
  </si>
  <si>
    <t>Loblolly Pine</t>
  </si>
  <si>
    <t>Area 1</t>
  </si>
  <si>
    <t>Loam</t>
  </si>
  <si>
    <t>Sugar Gum</t>
  </si>
  <si>
    <t>Red Ironbark</t>
  </si>
  <si>
    <t>Radiata Pine (low input)</t>
  </si>
  <si>
    <t>Radiata Pine (high input)</t>
  </si>
  <si>
    <t>Area 2</t>
  </si>
  <si>
    <t>Area 3</t>
  </si>
  <si>
    <t>All other Soils</t>
  </si>
  <si>
    <t>Shining Gum</t>
  </si>
  <si>
    <t>Area 4</t>
  </si>
  <si>
    <t>Area 5</t>
  </si>
  <si>
    <t>Southern &amp; Derwent Valley TAS</t>
  </si>
  <si>
    <t>Area 6</t>
  </si>
  <si>
    <t>Area 7</t>
  </si>
  <si>
    <t>Cracking Clays</t>
  </si>
  <si>
    <t>Area 8</t>
  </si>
  <si>
    <t>Area 9</t>
  </si>
  <si>
    <t>Yellow Duplex</t>
  </si>
  <si>
    <t>Pinus Radiata (low input)</t>
  </si>
  <si>
    <t>Pinus Radiata (high input)</t>
  </si>
  <si>
    <t>Area 10</t>
  </si>
  <si>
    <t>Red Duplex</t>
  </si>
  <si>
    <t>Gradational soils</t>
  </si>
  <si>
    <t>Mountain Ash</t>
  </si>
  <si>
    <t>Duplex</t>
  </si>
  <si>
    <t>Hoop Pine</t>
  </si>
  <si>
    <t>Lemon-scented Gum</t>
  </si>
  <si>
    <t>Western White Gum</t>
  </si>
  <si>
    <t>Blackbutt</t>
  </si>
  <si>
    <t>Pinus Hybrids</t>
  </si>
  <si>
    <t>Tree type</t>
  </si>
  <si>
    <t>Duplex Woodland</t>
  </si>
  <si>
    <t>Area of trees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</si>
</sst>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
    <numFmt numFmtId="166" formatCode="0.000"/>
  </numFmts>
  <fonts count="29">
    <font>
      <sz val="11"/>
      <color theme="1"/>
      <name val="Calibri"/>
      <family val="2"/>
      <scheme val="minor"/>
    </font>
    <font>
      <sz val="11"/>
      <color theme="1"/>
      <name val="Calibri"/>
      <family val="2"/>
      <scheme val="minor"/>
    </font>
    <font>
      <b/>
      <sz val="14"/>
      <color theme="1"/>
      <name val="Calibri"/>
      <family val="2"/>
      <scheme val="minor"/>
    </font>
    <font>
      <b/>
      <sz val="16"/>
      <color theme="1"/>
      <name val="Calibri"/>
      <family val="2"/>
      <scheme val="minor"/>
    </font>
    <font>
      <sz val="11"/>
      <color theme="1"/>
      <name val="Gilroy-Regular"/>
    </font>
    <font>
      <sz val="9"/>
      <color indexed="81"/>
      <name val="Tahoma"/>
      <family val="2"/>
    </font>
    <font>
      <b/>
      <sz val="9"/>
      <color indexed="81"/>
      <name val="Tahoma"/>
      <family val="2"/>
    </font>
    <font>
      <sz val="8"/>
      <name val="Calibri"/>
      <family val="2"/>
      <scheme val="minor"/>
    </font>
    <font>
      <sz val="12"/>
      <color theme="1"/>
      <name val="Gilroy-Regular"/>
    </font>
    <font>
      <b/>
      <sz val="12"/>
      <name val="Gilroy-Regular"/>
    </font>
    <font>
      <sz val="12"/>
      <name val="Gilroy-Regular"/>
    </font>
    <font>
      <i/>
      <sz val="10"/>
      <color theme="1"/>
      <name val="Gilroy-Regular"/>
    </font>
    <font>
      <b/>
      <sz val="11"/>
      <color theme="1"/>
      <name val="Calibri"/>
      <family val="2"/>
      <scheme val="minor"/>
    </font>
    <font>
      <b/>
      <sz val="12"/>
      <color theme="1"/>
      <name val="Calibri"/>
      <family val="2"/>
      <scheme val="minor"/>
    </font>
    <font>
      <sz val="10"/>
      <name val="MS Serif"/>
      <family val="1"/>
    </font>
    <font>
      <b/>
      <sz val="12"/>
      <color indexed="8"/>
      <name val="Gilroy-Regular"/>
    </font>
    <font>
      <sz val="12"/>
      <color indexed="8"/>
      <name val="Gilroy-Regular"/>
    </font>
    <font>
      <sz val="10"/>
      <color rgb="FF000000"/>
      <name val="Arial"/>
      <family val="2"/>
    </font>
    <font>
      <sz val="10"/>
      <name val="Arial"/>
      <family val="2"/>
    </font>
    <font>
      <sz val="11"/>
      <name val="Calibri"/>
      <family val="2"/>
      <scheme val="minor"/>
    </font>
    <font>
      <u/>
      <sz val="11"/>
      <color theme="10"/>
      <name val="Calibri"/>
      <family val="2"/>
      <scheme val="minor"/>
    </font>
    <font>
      <b/>
      <sz val="20"/>
      <color theme="1"/>
      <name val="Calibri"/>
      <family val="2"/>
      <scheme val="minor"/>
    </font>
    <font>
      <sz val="11"/>
      <color theme="0"/>
      <name val="Calibri"/>
      <family val="2"/>
      <scheme val="minor"/>
    </font>
    <font>
      <sz val="10"/>
      <name val="Times New Roman"/>
      <family val="1"/>
    </font>
    <font>
      <sz val="10"/>
      <color theme="1"/>
      <name val="Times New Roman"/>
      <family val="1"/>
    </font>
    <font>
      <sz val="12"/>
      <color theme="1"/>
      <name val="Aptos"/>
      <family val="2"/>
    </font>
    <font>
      <b/>
      <sz val="12"/>
      <color theme="5"/>
      <name val="Aptos"/>
      <family val="2"/>
    </font>
    <font>
      <sz val="12"/>
      <color theme="0"/>
      <name val="Aptos"/>
      <family val="2"/>
    </font>
    <font>
      <sz val="12"/>
      <color theme="0"/>
      <name val="Aptos Narrow"/>
      <family val="2"/>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theme="0" tint="-0.2499465926084170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499984740745262"/>
        <bgColor indexed="64"/>
      </patternFill>
    </fill>
  </fills>
  <borders count="54">
    <border>
      <left/>
      <right/>
      <top/>
      <bottom/>
      <diagonal/>
    </border>
    <border>
      <left style="thin">
        <color theme="1"/>
      </left>
      <right style="thin">
        <color auto="1"/>
      </right>
      <top style="thin">
        <color auto="1"/>
      </top>
      <bottom/>
      <diagonal/>
    </border>
    <border>
      <left style="thin">
        <color auto="1"/>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theme="1"/>
      </left>
      <right style="thin">
        <color auto="1"/>
      </right>
      <top/>
      <bottom/>
      <diagonal/>
    </border>
    <border>
      <left style="thin">
        <color auto="1"/>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theme="1"/>
      </left>
      <right style="thin">
        <color indexed="8"/>
      </right>
      <top/>
      <bottom style="thin">
        <color indexed="8"/>
      </bottom>
      <diagonal/>
    </border>
    <border>
      <left style="thin">
        <color indexed="8"/>
      </left>
      <right style="thin">
        <color indexed="8"/>
      </right>
      <top style="thin">
        <color indexed="8"/>
      </top>
      <bottom/>
      <diagonal/>
    </border>
    <border>
      <left style="thin">
        <color theme="1"/>
      </left>
      <right style="thin">
        <color indexed="8"/>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theme="1"/>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theme="0"/>
      </left>
      <right style="thin">
        <color theme="0"/>
      </right>
      <top/>
      <bottom/>
      <diagonal/>
    </border>
    <border>
      <left style="thin">
        <color theme="1"/>
      </left>
      <right style="thin">
        <color indexed="8"/>
      </right>
      <top style="thin">
        <color theme="1"/>
      </top>
      <bottom style="thin">
        <color indexed="8"/>
      </bottom>
      <diagonal/>
    </border>
    <border>
      <left style="thin">
        <color indexed="8"/>
      </left>
      <right style="thin">
        <color indexed="8"/>
      </right>
      <top style="thin">
        <color theme="1"/>
      </top>
      <bottom style="thin">
        <color indexed="8"/>
      </bottom>
      <diagonal/>
    </border>
    <border>
      <left style="thin">
        <color indexed="8"/>
      </left>
      <right/>
      <top style="thin">
        <color theme="1"/>
      </top>
      <bottom style="thin">
        <color indexed="8"/>
      </bottom>
      <diagonal/>
    </border>
    <border>
      <left/>
      <right style="thin">
        <color indexed="8"/>
      </right>
      <top style="thin">
        <color theme="1"/>
      </top>
      <bottom style="thin">
        <color indexed="8"/>
      </bottom>
      <diagonal/>
    </border>
    <border>
      <left/>
      <right style="thin">
        <color theme="0"/>
      </right>
      <top style="thin">
        <color indexed="8"/>
      </top>
      <bottom style="thin">
        <color theme="1"/>
      </bottom>
      <diagonal/>
    </border>
    <border>
      <left style="thin">
        <color theme="0"/>
      </left>
      <right style="thin">
        <color theme="0"/>
      </right>
      <top style="thin">
        <color indexed="8"/>
      </top>
      <bottom style="thin">
        <color theme="1"/>
      </bottom>
      <diagonal/>
    </border>
    <border>
      <left style="thin">
        <color theme="0"/>
      </left>
      <right/>
      <top style="thin">
        <color indexed="8"/>
      </top>
      <bottom style="thin">
        <color theme="1"/>
      </bottom>
      <diagonal/>
    </border>
    <border>
      <left style="thin">
        <color theme="1"/>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auto="1"/>
      </top>
      <bottom style="thin">
        <color theme="0"/>
      </bottom>
      <diagonal/>
    </border>
    <border>
      <left/>
      <right/>
      <top style="thin">
        <color auto="1"/>
      </top>
      <bottom style="thin">
        <color theme="0"/>
      </bottom>
      <diagonal/>
    </border>
    <border>
      <left/>
      <right style="thin">
        <color auto="1"/>
      </right>
      <top style="thin">
        <color auto="1"/>
      </top>
      <bottom style="thin">
        <color theme="0"/>
      </bottom>
      <diagonal/>
    </border>
    <border>
      <left style="thin">
        <color indexed="64"/>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auto="1"/>
      </right>
      <top style="thin">
        <color theme="0"/>
      </top>
      <bottom style="thin">
        <color auto="1"/>
      </bottom>
      <diagonal/>
    </border>
    <border>
      <left style="thin">
        <color indexed="64"/>
      </left>
      <right style="thin">
        <color indexed="64"/>
      </right>
      <top/>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top style="thin">
        <color theme="1"/>
      </top>
      <bottom style="thin">
        <color theme="1"/>
      </bottom>
      <diagonal/>
    </border>
    <border>
      <left style="thin">
        <color indexed="64"/>
      </left>
      <right style="thin">
        <color theme="1"/>
      </right>
      <top style="thin">
        <color theme="1"/>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n">
        <color indexed="64"/>
      </right>
      <top/>
      <bottom style="thin">
        <color theme="1"/>
      </bottom>
      <diagonal/>
    </border>
    <border>
      <left style="thin">
        <color theme="0"/>
      </left>
      <right style="thin">
        <color theme="0"/>
      </right>
      <top style="thin">
        <color theme="0"/>
      </top>
      <bottom/>
      <diagonal/>
    </border>
    <border>
      <left style="thin">
        <color indexed="64"/>
      </left>
      <right/>
      <top/>
      <bottom/>
      <diagonal/>
    </border>
    <border>
      <left/>
      <right style="thin">
        <color auto="1"/>
      </right>
      <top/>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0" fontId="14" fillId="0" borderId="0"/>
    <xf numFmtId="0" fontId="17" fillId="0" borderId="0"/>
    <xf numFmtId="0" fontId="18" fillId="0" borderId="0"/>
    <xf numFmtId="0" fontId="18" fillId="0" borderId="0"/>
    <xf numFmtId="0" fontId="20" fillId="0" borderId="0" applyNumberFormat="0" applyFill="0" applyBorder="0" applyAlignment="0" applyProtection="0"/>
  </cellStyleXfs>
  <cellXfs count="142">
    <xf numFmtId="0" fontId="0" fillId="0" borderId="0" xfId="0"/>
    <xf numFmtId="0" fontId="2" fillId="0" borderId="0" xfId="0" applyFont="1"/>
    <xf numFmtId="0" fontId="3" fillId="0" borderId="0" xfId="0" applyFont="1"/>
    <xf numFmtId="0" fontId="4" fillId="2" borderId="0" xfId="0" applyFont="1" applyFill="1" applyAlignment="1">
      <alignment vertical="center"/>
    </xf>
    <xf numFmtId="0" fontId="4" fillId="2" borderId="0" xfId="0" applyFont="1" applyFill="1"/>
    <xf numFmtId="0" fontId="0" fillId="0" borderId="0" xfId="0" applyProtection="1">
      <protection locked="0"/>
    </xf>
    <xf numFmtId="0" fontId="0" fillId="0" borderId="0" xfId="0" applyAlignment="1">
      <alignment horizontal="left" vertical="top"/>
    </xf>
    <xf numFmtId="0" fontId="8" fillId="2" borderId="1" xfId="0" applyFont="1" applyFill="1" applyBorder="1" applyAlignment="1">
      <alignment horizontal="center"/>
    </xf>
    <xf numFmtId="0" fontId="8" fillId="2" borderId="6" xfId="0" applyFont="1" applyFill="1" applyBorder="1" applyAlignment="1">
      <alignment horizontal="center"/>
    </xf>
    <xf numFmtId="0" fontId="9" fillId="4" borderId="11" xfId="0" applyFont="1" applyFill="1" applyBorder="1" applyAlignment="1">
      <alignment vertical="center" wrapText="1"/>
    </xf>
    <xf numFmtId="0" fontId="9" fillId="5" borderId="12" xfId="0" applyFont="1" applyFill="1" applyBorder="1" applyAlignment="1">
      <alignment horizontal="center" vertical="center" wrapText="1"/>
    </xf>
    <xf numFmtId="0" fontId="10" fillId="3" borderId="13" xfId="0" applyFont="1" applyFill="1" applyBorder="1" applyAlignment="1">
      <alignment vertical="center" wrapText="1"/>
    </xf>
    <xf numFmtId="165" fontId="10" fillId="3" borderId="14" xfId="0" applyNumberFormat="1" applyFont="1" applyFill="1" applyBorder="1" applyAlignment="1">
      <alignment horizontal="center" vertical="center" wrapText="1"/>
    </xf>
    <xf numFmtId="165" fontId="10" fillId="3" borderId="14" xfId="1" applyNumberFormat="1" applyFont="1" applyFill="1" applyBorder="1" applyAlignment="1" applyProtection="1">
      <alignment horizontal="center" vertical="center" wrapText="1"/>
    </xf>
    <xf numFmtId="165" fontId="8" fillId="0" borderId="14" xfId="0" applyNumberFormat="1" applyFont="1" applyBorder="1" applyAlignment="1">
      <alignment horizontal="center" vertical="center"/>
    </xf>
    <xf numFmtId="165" fontId="8" fillId="0" borderId="15" xfId="0" applyNumberFormat="1" applyFont="1" applyBorder="1" applyAlignment="1">
      <alignment horizontal="center" vertical="center"/>
    </xf>
    <xf numFmtId="165" fontId="10" fillId="3" borderId="16" xfId="0" applyNumberFormat="1" applyFont="1" applyFill="1" applyBorder="1" applyAlignment="1">
      <alignment horizontal="center" vertical="center" wrapText="1"/>
    </xf>
    <xf numFmtId="165" fontId="8" fillId="0" borderId="16" xfId="0" applyNumberFormat="1" applyFont="1" applyBorder="1" applyAlignment="1">
      <alignment horizontal="center" vertical="center"/>
    </xf>
    <xf numFmtId="165" fontId="8" fillId="0" borderId="17" xfId="0" applyNumberFormat="1" applyFont="1" applyBorder="1" applyAlignment="1">
      <alignment horizontal="center" vertical="center"/>
    </xf>
    <xf numFmtId="165" fontId="10" fillId="3" borderId="17" xfId="0" applyNumberFormat="1" applyFont="1" applyFill="1" applyBorder="1" applyAlignment="1">
      <alignment horizontal="center" vertical="center" wrapText="1"/>
    </xf>
    <xf numFmtId="0" fontId="10" fillId="3" borderId="18" xfId="0" applyFont="1" applyFill="1" applyBorder="1" applyAlignment="1">
      <alignment vertical="center" wrapText="1"/>
    </xf>
    <xf numFmtId="165" fontId="10" fillId="3" borderId="19" xfId="0" applyNumberFormat="1" applyFont="1" applyFill="1" applyBorder="1" applyAlignment="1">
      <alignment horizontal="center" vertical="center" wrapText="1"/>
    </xf>
    <xf numFmtId="165" fontId="8" fillId="0" borderId="19" xfId="0" applyNumberFormat="1" applyFont="1" applyBorder="1" applyAlignment="1">
      <alignment horizontal="center" vertical="center"/>
    </xf>
    <xf numFmtId="0" fontId="8" fillId="0" borderId="20" xfId="0" applyFont="1" applyBorder="1"/>
    <xf numFmtId="0" fontId="9" fillId="4" borderId="21" xfId="0" applyFont="1" applyFill="1" applyBorder="1" applyAlignment="1">
      <alignment vertical="center" wrapText="1"/>
    </xf>
    <xf numFmtId="0" fontId="9" fillId="5" borderId="22" xfId="0" applyFont="1" applyFill="1" applyBorder="1" applyAlignment="1">
      <alignment horizontal="center" vertical="center" wrapText="1"/>
    </xf>
    <xf numFmtId="0" fontId="10" fillId="3" borderId="11" xfId="0" applyFont="1" applyFill="1" applyBorder="1" applyAlignment="1">
      <alignment vertical="center" wrapText="1"/>
    </xf>
    <xf numFmtId="0" fontId="8" fillId="0" borderId="25" xfId="0" applyFont="1" applyBorder="1"/>
    <xf numFmtId="0" fontId="8" fillId="0" borderId="26" xfId="0" applyFont="1" applyBorder="1"/>
    <xf numFmtId="0" fontId="8" fillId="0" borderId="27" xfId="0" applyFont="1" applyBorder="1"/>
    <xf numFmtId="0" fontId="10" fillId="3" borderId="28" xfId="0" applyFont="1" applyFill="1" applyBorder="1" applyAlignment="1">
      <alignment vertical="center" wrapText="1"/>
    </xf>
    <xf numFmtId="165" fontId="10" fillId="3" borderId="29" xfId="0" applyNumberFormat="1" applyFont="1" applyFill="1" applyBorder="1" applyAlignment="1">
      <alignment horizontal="center" vertical="center" wrapText="1"/>
    </xf>
    <xf numFmtId="165" fontId="8" fillId="0" borderId="29" xfId="0" applyNumberFormat="1" applyFont="1" applyBorder="1" applyAlignment="1">
      <alignment horizontal="center" vertical="center"/>
    </xf>
    <xf numFmtId="0" fontId="8" fillId="0" borderId="0" xfId="0" applyFont="1"/>
    <xf numFmtId="0" fontId="11" fillId="2" borderId="0" xfId="0" applyFont="1" applyFill="1"/>
    <xf numFmtId="0" fontId="8" fillId="2" borderId="0" xfId="0" applyFont="1" applyFill="1"/>
    <xf numFmtId="165" fontId="8" fillId="2" borderId="30" xfId="0" applyNumberFormat="1" applyFont="1" applyFill="1" applyBorder="1" applyAlignment="1">
      <alignment horizontal="center"/>
    </xf>
    <xf numFmtId="165" fontId="0" fillId="0" borderId="0" xfId="0" applyNumberFormat="1"/>
    <xf numFmtId="0" fontId="0" fillId="6" borderId="0" xfId="0" applyFill="1"/>
    <xf numFmtId="0" fontId="12" fillId="0" borderId="0" xfId="0" applyFont="1"/>
    <xf numFmtId="0" fontId="13" fillId="0" borderId="0" xfId="0" applyFont="1"/>
    <xf numFmtId="0" fontId="13" fillId="6" borderId="0" xfId="0" applyFont="1" applyFill="1"/>
    <xf numFmtId="165" fontId="15" fillId="2" borderId="36" xfId="3" applyNumberFormat="1" applyFont="1" applyFill="1" applyBorder="1" applyAlignment="1">
      <alignment horizontal="center" vertical="center" wrapText="1"/>
    </xf>
    <xf numFmtId="165" fontId="15" fillId="2" borderId="37" xfId="3" applyNumberFormat="1" applyFont="1" applyFill="1" applyBorder="1" applyAlignment="1">
      <alignment horizontal="center" vertical="center" wrapText="1"/>
    </xf>
    <xf numFmtId="165" fontId="15" fillId="2" borderId="38" xfId="3" applyNumberFormat="1" applyFont="1" applyFill="1" applyBorder="1" applyAlignment="1">
      <alignment horizontal="center" vertical="center" wrapText="1"/>
    </xf>
    <xf numFmtId="0" fontId="16" fillId="2" borderId="39" xfId="3" applyFont="1" applyFill="1" applyBorder="1"/>
    <xf numFmtId="165" fontId="16" fillId="2" borderId="40" xfId="3" applyNumberFormat="1" applyFont="1" applyFill="1" applyBorder="1" applyAlignment="1">
      <alignment horizontal="center"/>
    </xf>
    <xf numFmtId="165" fontId="16" fillId="2" borderId="41" xfId="3" applyNumberFormat="1" applyFont="1" applyFill="1" applyBorder="1" applyAlignment="1">
      <alignment horizontal="center"/>
    </xf>
    <xf numFmtId="165" fontId="16" fillId="2" borderId="42" xfId="3" applyNumberFormat="1" applyFont="1" applyFill="1" applyBorder="1" applyAlignment="1">
      <alignment horizontal="center"/>
    </xf>
    <xf numFmtId="0" fontId="16" fillId="2" borderId="31" xfId="3" applyFont="1" applyFill="1" applyBorder="1"/>
    <xf numFmtId="165" fontId="16" fillId="2" borderId="43" xfId="3" applyNumberFormat="1" applyFont="1" applyFill="1" applyBorder="1" applyAlignment="1">
      <alignment horizontal="center"/>
    </xf>
    <xf numFmtId="165" fontId="16" fillId="2" borderId="44" xfId="3" applyNumberFormat="1" applyFont="1" applyFill="1" applyBorder="1" applyAlignment="1">
      <alignment horizontal="center"/>
    </xf>
    <xf numFmtId="165" fontId="16" fillId="2" borderId="45" xfId="3" applyNumberFormat="1" applyFont="1" applyFill="1" applyBorder="1" applyAlignment="1">
      <alignment horizontal="center"/>
    </xf>
    <xf numFmtId="165" fontId="16" fillId="2" borderId="46" xfId="3" applyNumberFormat="1" applyFont="1" applyFill="1" applyBorder="1" applyAlignment="1">
      <alignment horizontal="center"/>
    </xf>
    <xf numFmtId="0" fontId="8" fillId="2" borderId="43" xfId="0" applyFont="1" applyFill="1" applyBorder="1" applyAlignment="1">
      <alignment horizontal="center"/>
    </xf>
    <xf numFmtId="165" fontId="8" fillId="2" borderId="44" xfId="0" applyNumberFormat="1" applyFont="1" applyFill="1" applyBorder="1" applyAlignment="1">
      <alignment horizontal="center"/>
    </xf>
    <xf numFmtId="165" fontId="10" fillId="2" borderId="43" xfId="3" applyNumberFormat="1" applyFont="1" applyFill="1" applyBorder="1" applyAlignment="1">
      <alignment horizontal="center"/>
    </xf>
    <xf numFmtId="165" fontId="10" fillId="2" borderId="44" xfId="3" applyNumberFormat="1" applyFont="1" applyFill="1" applyBorder="1" applyAlignment="1">
      <alignment horizontal="center"/>
    </xf>
    <xf numFmtId="165" fontId="10" fillId="2" borderId="45" xfId="3" applyNumberFormat="1" applyFont="1" applyFill="1" applyBorder="1" applyAlignment="1">
      <alignment horizontal="center"/>
    </xf>
    <xf numFmtId="0" fontId="16" fillId="2" borderId="35" xfId="3" applyFont="1" applyFill="1" applyBorder="1"/>
    <xf numFmtId="165" fontId="16" fillId="2" borderId="47" xfId="3" applyNumberFormat="1" applyFont="1" applyFill="1" applyBorder="1" applyAlignment="1">
      <alignment horizontal="center"/>
    </xf>
    <xf numFmtId="0" fontId="12" fillId="6" borderId="0" xfId="0" applyFont="1" applyFill="1"/>
    <xf numFmtId="0" fontId="13" fillId="6" borderId="0" xfId="0" applyFont="1" applyFill="1" applyAlignment="1">
      <alignment horizontal="left" vertical="top"/>
    </xf>
    <xf numFmtId="0" fontId="13" fillId="6" borderId="0" xfId="0" applyFont="1" applyFill="1" applyAlignment="1">
      <alignment horizontal="left" vertical="top" wrapText="1"/>
    </xf>
    <xf numFmtId="0" fontId="8" fillId="2" borderId="39" xfId="0" applyFont="1" applyFill="1" applyBorder="1"/>
    <xf numFmtId="165" fontId="8" fillId="2" borderId="45" xfId="0" applyNumberFormat="1" applyFont="1" applyFill="1" applyBorder="1" applyAlignment="1">
      <alignment horizontal="center"/>
    </xf>
    <xf numFmtId="165" fontId="16" fillId="2" borderId="48" xfId="3" applyNumberFormat="1" applyFont="1" applyFill="1" applyBorder="1" applyAlignment="1">
      <alignment horizontal="center"/>
    </xf>
    <xf numFmtId="165" fontId="16" fillId="2" borderId="49" xfId="3" applyNumberFormat="1" applyFont="1" applyFill="1" applyBorder="1" applyAlignment="1">
      <alignment horizontal="center"/>
    </xf>
    <xf numFmtId="165" fontId="16" fillId="2" borderId="50" xfId="3" applyNumberFormat="1" applyFont="1" applyFill="1" applyBorder="1" applyAlignment="1">
      <alignment horizontal="center"/>
    </xf>
    <xf numFmtId="14" fontId="0" fillId="0" borderId="0" xfId="0" applyNumberFormat="1" applyProtection="1">
      <protection locked="0"/>
    </xf>
    <xf numFmtId="165" fontId="0" fillId="0" borderId="0" xfId="0" applyNumberFormat="1" applyProtection="1">
      <protection locked="0"/>
    </xf>
    <xf numFmtId="0" fontId="0" fillId="7" borderId="0" xfId="0" applyFill="1" applyProtection="1">
      <protection locked="0"/>
    </xf>
    <xf numFmtId="0" fontId="0" fillId="7" borderId="0" xfId="0" applyFill="1"/>
    <xf numFmtId="0" fontId="0" fillId="7" borderId="0" xfId="2" applyNumberFormat="1" applyFont="1" applyFill="1" applyProtection="1">
      <protection locked="0"/>
    </xf>
    <xf numFmtId="0" fontId="19" fillId="0" borderId="51" xfId="0" applyFont="1" applyBorder="1" applyAlignment="1">
      <alignment horizontal="center" wrapText="1"/>
    </xf>
    <xf numFmtId="0" fontId="19" fillId="0" borderId="51" xfId="0" applyFont="1" applyBorder="1" applyAlignment="1">
      <alignment horizontal="left" wrapText="1"/>
    </xf>
    <xf numFmtId="0" fontId="0" fillId="2" borderId="0" xfId="0" applyFill="1"/>
    <xf numFmtId="10" fontId="0" fillId="7" borderId="0" xfId="2" applyNumberFormat="1" applyFont="1" applyFill="1" applyProtection="1">
      <protection locked="0"/>
    </xf>
    <xf numFmtId="0" fontId="0" fillId="7" borderId="0" xfId="0" applyFill="1" applyAlignment="1" applyProtection="1">
      <alignment vertical="top" wrapText="1"/>
      <protection locked="0"/>
    </xf>
    <xf numFmtId="9" fontId="0" fillId="7" borderId="0" xfId="0" applyNumberFormat="1" applyFill="1"/>
    <xf numFmtId="0" fontId="20" fillId="0" borderId="0" xfId="7"/>
    <xf numFmtId="0" fontId="20" fillId="0" borderId="0" xfId="7" applyFill="1"/>
    <xf numFmtId="0" fontId="19" fillId="0" borderId="0" xfId="0" applyFont="1"/>
    <xf numFmtId="0" fontId="21" fillId="0" borderId="0" xfId="0" applyFont="1"/>
    <xf numFmtId="0" fontId="15" fillId="2" borderId="52" xfId="3" applyFont="1" applyFill="1" applyBorder="1" applyAlignment="1">
      <alignment horizontal="center" vertical="center"/>
    </xf>
    <xf numFmtId="0" fontId="15" fillId="2" borderId="53" xfId="3" applyFont="1" applyFill="1" applyBorder="1" applyAlignment="1">
      <alignment horizontal="center" vertical="center"/>
    </xf>
    <xf numFmtId="0" fontId="2" fillId="0" borderId="0" xfId="0" applyFont="1" applyProtection="1">
      <protection hidden="1"/>
    </xf>
    <xf numFmtId="0" fontId="22" fillId="0" borderId="0" xfId="0" applyFont="1"/>
    <xf numFmtId="0" fontId="0" fillId="2" borderId="0" xfId="0" applyFill="1" applyProtection="1">
      <protection locked="0"/>
    </xf>
    <xf numFmtId="165" fontId="8" fillId="2" borderId="30" xfId="0" applyNumberFormat="1" applyFont="1" applyFill="1" applyBorder="1" applyAlignment="1" applyProtection="1">
      <alignment horizontal="center"/>
      <protection locked="0"/>
    </xf>
    <xf numFmtId="165" fontId="23" fillId="3" borderId="17" xfId="0" applyNumberFormat="1" applyFont="1" applyFill="1" applyBorder="1" applyAlignment="1">
      <alignment horizontal="center" wrapText="1"/>
    </xf>
    <xf numFmtId="165" fontId="24" fillId="0" borderId="17" xfId="0" applyNumberFormat="1" applyFont="1" applyBorder="1" applyAlignment="1">
      <alignment horizontal="center"/>
    </xf>
    <xf numFmtId="0" fontId="0" fillId="6" borderId="0" xfId="0" applyFill="1" applyAlignment="1">
      <alignment wrapText="1"/>
    </xf>
    <xf numFmtId="165" fontId="16" fillId="2" borderId="0" xfId="3" applyNumberFormat="1" applyFont="1" applyFill="1" applyAlignment="1">
      <alignment horizontal="center"/>
    </xf>
    <xf numFmtId="165" fontId="16" fillId="2" borderId="53" xfId="3" applyNumberFormat="1" applyFont="1" applyFill="1" applyBorder="1" applyAlignment="1">
      <alignment horizontal="center"/>
    </xf>
    <xf numFmtId="165" fontId="16" fillId="2" borderId="0" xfId="3" applyNumberFormat="1" applyFont="1" applyFill="1" applyAlignment="1">
      <alignment horizontal="center" vertical="center" wrapText="1"/>
    </xf>
    <xf numFmtId="165" fontId="15" fillId="2" borderId="0" xfId="3" applyNumberFormat="1" applyFont="1" applyFill="1" applyAlignment="1">
      <alignment horizontal="center" vertical="center" wrapText="1"/>
    </xf>
    <xf numFmtId="166" fontId="4" fillId="2" borderId="0" xfId="0" applyNumberFormat="1" applyFont="1" applyFill="1"/>
    <xf numFmtId="165" fontId="4" fillId="2" borderId="0" xfId="0" applyNumberFormat="1" applyFont="1" applyFill="1"/>
    <xf numFmtId="0" fontId="4" fillId="2" borderId="0" xfId="0" applyFont="1" applyFill="1" applyAlignment="1">
      <alignment horizontal="left" vertical="top" wrapText="1"/>
    </xf>
    <xf numFmtId="0" fontId="16" fillId="2" borderId="0" xfId="3" applyFont="1" applyFill="1"/>
    <xf numFmtId="165" fontId="10" fillId="2" borderId="46" xfId="3" applyNumberFormat="1" applyFont="1" applyFill="1" applyBorder="1" applyAlignment="1">
      <alignment horizontal="center"/>
    </xf>
    <xf numFmtId="0" fontId="0" fillId="0" borderId="0" xfId="0" applyAlignment="1">
      <alignment horizontal="left" vertical="top" wrapText="1"/>
    </xf>
    <xf numFmtId="0" fontId="9" fillId="5" borderId="4" xfId="0" applyFont="1" applyFill="1" applyBorder="1" applyAlignment="1">
      <alignment horizontal="center" vertical="center" wrapText="1"/>
    </xf>
    <xf numFmtId="0" fontId="15" fillId="2" borderId="0" xfId="3" applyFont="1" applyFill="1" applyAlignment="1">
      <alignment horizontal="center" vertical="center"/>
    </xf>
    <xf numFmtId="0" fontId="4" fillId="2" borderId="0" xfId="0" applyFont="1" applyFill="1" applyAlignment="1">
      <alignment horizontal="center" vertical="top"/>
    </xf>
    <xf numFmtId="0" fontId="2" fillId="6" borderId="0" xfId="0" applyFont="1" applyFill="1" applyAlignment="1">
      <alignment horizontal="left" vertical="top"/>
    </xf>
    <xf numFmtId="0" fontId="12" fillId="6" borderId="0" xfId="0" applyFont="1" applyFill="1" applyAlignment="1">
      <alignment horizontal="left" vertical="top"/>
    </xf>
    <xf numFmtId="0" fontId="0" fillId="0" borderId="0" xfId="0" applyAlignment="1">
      <alignment wrapText="1"/>
    </xf>
    <xf numFmtId="0" fontId="0" fillId="0" borderId="0" xfId="0" applyAlignment="1">
      <alignment vertical="top" wrapText="1"/>
    </xf>
    <xf numFmtId="0" fontId="0" fillId="8" borderId="0" xfId="0" applyFill="1"/>
    <xf numFmtId="0" fontId="25" fillId="8" borderId="0" xfId="0" applyFont="1" applyFill="1" applyAlignment="1">
      <alignment horizontal="left" vertical="center" wrapText="1"/>
    </xf>
    <xf numFmtId="49" fontId="27" fillId="8" borderId="0" xfId="0" applyNumberFormat="1" applyFont="1" applyFill="1" applyAlignment="1">
      <alignment vertical="center" wrapText="1"/>
    </xf>
    <xf numFmtId="0" fontId="22" fillId="8" borderId="0" xfId="0" applyFont="1" applyFill="1" applyAlignment="1">
      <alignment wrapText="1"/>
    </xf>
    <xf numFmtId="0" fontId="0" fillId="0" borderId="0" xfId="0" applyAlignment="1">
      <alignment horizontal="left" vertical="top" wrapText="1"/>
    </xf>
    <xf numFmtId="0" fontId="13" fillId="6" borderId="0" xfId="0" applyFont="1" applyFill="1" applyAlignment="1">
      <alignment horizontal="left"/>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15" fillId="2" borderId="0" xfId="3" applyFont="1" applyFill="1" applyAlignment="1">
      <alignment horizontal="center" vertical="center"/>
    </xf>
    <xf numFmtId="0" fontId="4" fillId="2" borderId="0" xfId="0" applyFont="1" applyFill="1" applyAlignment="1">
      <alignment horizontal="center" vertical="top"/>
    </xf>
    <xf numFmtId="0" fontId="15" fillId="2" borderId="31" xfId="3" applyFont="1" applyFill="1" applyBorder="1" applyAlignment="1">
      <alignment horizontal="center" vertical="center" wrapText="1"/>
    </xf>
    <xf numFmtId="0" fontId="15" fillId="2" borderId="39" xfId="3" applyFont="1" applyFill="1" applyBorder="1" applyAlignment="1">
      <alignment horizontal="center" vertical="center" wrapText="1"/>
    </xf>
    <xf numFmtId="0" fontId="15" fillId="2" borderId="35" xfId="3" applyFont="1" applyFill="1" applyBorder="1" applyAlignment="1">
      <alignment horizontal="center" vertical="center" wrapText="1"/>
    </xf>
    <xf numFmtId="0" fontId="15" fillId="2" borderId="32" xfId="3" applyFont="1" applyFill="1" applyBorder="1" applyAlignment="1">
      <alignment horizontal="center" vertical="center"/>
    </xf>
    <xf numFmtId="0" fontId="15" fillId="2" borderId="33" xfId="3" applyFont="1" applyFill="1" applyBorder="1" applyAlignment="1">
      <alignment horizontal="center" vertical="center"/>
    </xf>
    <xf numFmtId="0" fontId="15" fillId="2" borderId="34" xfId="3" applyFont="1" applyFill="1" applyBorder="1" applyAlignment="1">
      <alignment horizontal="center" vertical="center"/>
    </xf>
    <xf numFmtId="0" fontId="12" fillId="6" borderId="0" xfId="0" applyFont="1" applyFill="1" applyAlignment="1">
      <alignment horizontal="left"/>
    </xf>
    <xf numFmtId="0" fontId="2" fillId="6" borderId="0" xfId="0" applyFont="1" applyFill="1" applyAlignment="1">
      <alignment horizontal="left" vertical="top"/>
    </xf>
    <xf numFmtId="0" fontId="0" fillId="6" borderId="0" xfId="0" applyFill="1" applyAlignment="1">
      <alignment horizontal="left"/>
    </xf>
    <xf numFmtId="0" fontId="12" fillId="6" borderId="0" xfId="0" applyFont="1" applyFill="1" applyAlignment="1">
      <alignment horizontal="left" vertical="top"/>
    </xf>
    <xf numFmtId="0" fontId="0" fillId="0" borderId="0" xfId="0" applyAlignment="1">
      <alignment wrapText="1"/>
    </xf>
    <xf numFmtId="0" fontId="0" fillId="0" borderId="0" xfId="0" applyAlignment="1">
      <alignment vertical="top" wrapText="1"/>
    </xf>
  </cellXfs>
  <cellStyles count="8">
    <cellStyle name="Comma" xfId="1" builtinId="3"/>
    <cellStyle name="Hyperlink" xfId="7" builtinId="8"/>
    <cellStyle name="Normal" xfId="0" builtinId="0"/>
    <cellStyle name="Normal 2" xfId="4" xr:uid="{74E59269-E0D0-468D-A777-0DD4CD6301B0}"/>
    <cellStyle name="Normal 2 2" xfId="6" xr:uid="{8BEAED4F-4166-45DD-AE7A-0380DF54CD2F}"/>
    <cellStyle name="Normal 4" xfId="3" xr:uid="{BFD047B7-4A1B-413A-B986-113F15E14E10}"/>
    <cellStyle name="Normal 4 2" xfId="5" xr:uid="{38CFF233-1F69-45F4-9082-C3BF37DC5B02}"/>
    <cellStyle name="Percent" xfId="2" builtinId="5"/>
  </cellStyles>
  <dxfs count="6">
    <dxf>
      <font>
        <strike val="0"/>
      </font>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34927</xdr:colOff>
      <xdr:row>1</xdr:row>
      <xdr:rowOff>247650</xdr:rowOff>
    </xdr:from>
    <xdr:to>
      <xdr:col>7</xdr:col>
      <xdr:colOff>1</xdr:colOff>
      <xdr:row>2</xdr:row>
      <xdr:rowOff>1274069</xdr:rowOff>
    </xdr:to>
    <xdr:pic>
      <xdr:nvPicPr>
        <xdr:cNvPr id="2" name="Picture 1">
          <a:extLst>
            <a:ext uri="{FF2B5EF4-FFF2-40B4-BE49-F238E27FC236}">
              <a16:creationId xmlns:a16="http://schemas.microsoft.com/office/drawing/2014/main" id="{DE19E50D-A120-1149-65AC-F38BAFB4278D}"/>
            </a:ext>
          </a:extLst>
        </xdr:cNvPr>
        <xdr:cNvPicPr>
          <a:picLocks noChangeAspect="1"/>
        </xdr:cNvPicPr>
      </xdr:nvPicPr>
      <xdr:blipFill>
        <a:blip xmlns:r="http://schemas.openxmlformats.org/officeDocument/2006/relationships" r:embed="rId1"/>
        <a:stretch>
          <a:fillRect/>
        </a:stretch>
      </xdr:blipFill>
      <xdr:spPr>
        <a:xfrm>
          <a:off x="501652" y="428625"/>
          <a:ext cx="4537074" cy="17122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596900</xdr:colOff>
      <xdr:row>1</xdr:row>
      <xdr:rowOff>0</xdr:rowOff>
    </xdr:from>
    <xdr:to>
      <xdr:col>12</xdr:col>
      <xdr:colOff>615950</xdr:colOff>
      <xdr:row>1</xdr:row>
      <xdr:rowOff>292100</xdr:rowOff>
    </xdr:to>
    <xdr:sp macro="" textlink="">
      <xdr:nvSpPr>
        <xdr:cNvPr id="2" name="Rectangle: Rounded Corners 1">
          <a:extLst>
            <a:ext uri="{FF2B5EF4-FFF2-40B4-BE49-F238E27FC236}">
              <a16:creationId xmlns:a16="http://schemas.microsoft.com/office/drawing/2014/main" id="{12DA5AE8-87F3-4AEE-BD6C-3A09C9D5D2FE}"/>
            </a:ext>
            <a:ext uri="{6ECC49D1-AA05-4338-93AA-15A1B29DFB0A}">
              <asl:scriptLink xmlns:asl="http://schemas.microsoft.com/office/drawing/2021/scriptlink" val="{&quot;shareId&quot;:&quot;ms-officescript%3A%2F%2Fonedrive_business_sharinglink%2Fu!aHR0cHM6Ly9kYWlyeWF1c3RyYWxpYS1teS5zaGFyZXBvaW50LmNvbS86dTovZy9wZXJzb25hbC9zY290dF9qYXJkaW5lX2RhaXJ5YXVzdHJhbGlhX2NvbV9hdS9JUUFTM0VqYnJmazJRcGYyZ2xsaWcwallBWXJCcEZZUFY2M0QwWk03c21zWC1zSQ&quot;}"/>
            </a:ext>
          </a:extLst>
        </xdr:cNvPr>
        <xdr:cNvSpPr/>
      </xdr:nvSpPr>
      <xdr:spPr>
        <a:xfrm>
          <a:off x="8855075" y="266700"/>
          <a:ext cx="1238250" cy="292100"/>
        </a:xfrm>
        <a:prstGeom prst="roundRect">
          <a:avLst/>
        </a:prstGeom>
        <a:solidFill>
          <a:srgbClr val="107C41"/>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Clear input cells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9525</xdr:colOff>
      <xdr:row>1</xdr:row>
      <xdr:rowOff>0</xdr:rowOff>
    </xdr:from>
    <xdr:to>
      <xdr:col>7</xdr:col>
      <xdr:colOff>19050</xdr:colOff>
      <xdr:row>1</xdr:row>
      <xdr:rowOff>292100</xdr:rowOff>
    </xdr:to>
    <xdr:sp macro="" textlink="">
      <xdr:nvSpPr>
        <xdr:cNvPr id="2" name="Rectangle: Rounded Corners 1">
          <a:extLst>
            <a:ext uri="{FF2B5EF4-FFF2-40B4-BE49-F238E27FC236}">
              <a16:creationId xmlns:a16="http://schemas.microsoft.com/office/drawing/2014/main" id="{D9151A3A-69C6-4EC0-8D3A-D6BFA47865BB}"/>
            </a:ext>
            <a:ext uri="{6ECC49D1-AA05-4338-93AA-15A1B29DFB0A}">
              <asl:scriptLink xmlns:asl="http://schemas.microsoft.com/office/drawing/2021/scriptlink" val="{&quot;shareId&quot;:&quot;ms-officescript%3A%2F%2Fonedrive_business_sharinglink%2Fu!aHR0cHM6Ly9kYWlyeWF1c3RyYWxpYS1teS5zaGFyZXBvaW50LmNvbS86dTovZy9wZXJzb25hbC9zY290dF9qYXJkaW5lX2RhaXJ5YXVzdHJhbGlhX2NvbV9hdS9JUUIzaXpDZWdhNWZRTDZ0MVA2SGVmUVBBVFdqbDRRNWJ2dFpPOHhiejNMcnByWQ&quot;}"/>
            </a:ext>
          </a:extLst>
        </xdr:cNvPr>
        <xdr:cNvSpPr/>
      </xdr:nvSpPr>
      <xdr:spPr>
        <a:xfrm>
          <a:off x="7724775" y="266700"/>
          <a:ext cx="1228725" cy="292100"/>
        </a:xfrm>
        <a:prstGeom prst="roundRect">
          <a:avLst/>
        </a:prstGeom>
        <a:solidFill>
          <a:srgbClr val="107C41"/>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Clear input cells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2</xdr:row>
      <xdr:rowOff>0</xdr:rowOff>
    </xdr:from>
    <xdr:to>
      <xdr:col>4</xdr:col>
      <xdr:colOff>1228725</xdr:colOff>
      <xdr:row>3</xdr:row>
      <xdr:rowOff>111125</xdr:rowOff>
    </xdr:to>
    <xdr:sp macro="" textlink="">
      <xdr:nvSpPr>
        <xdr:cNvPr id="2" name="Rectangle: Rounded Corners 1">
          <a:extLst>
            <a:ext uri="{FF2B5EF4-FFF2-40B4-BE49-F238E27FC236}">
              <a16:creationId xmlns:a16="http://schemas.microsoft.com/office/drawing/2014/main" id="{9E0AB7A2-CBD7-495B-8365-A8F36723792C}"/>
            </a:ext>
            <a:ext uri="{6ECC49D1-AA05-4338-93AA-15A1B29DFB0A}">
              <asl:scriptLink xmlns:asl="http://schemas.microsoft.com/office/drawing/2021/scriptlink" val="{&quot;shareId&quot;:&quot;ms-officescript%3A%2F%2Fonedrive_business_sharinglink%2Fu!aHR0cHM6Ly9kYWlyeWF1c3RyYWxpYS1teS5zaGFyZXBvaW50LmNvbS86dTovZy9wZXJzb25hbC9zY290dF9qYXJkaW5lX2RhaXJ5YXVzdHJhbGlhX2NvbV9hdS9JUUNjUk81RDZkaldSNXkyb1YtS29mX0lBUXVPUnR6UkxSYjZiNEM2Z3NrVThnWQ&quot;}"/>
            </a:ext>
          </a:extLst>
        </xdr:cNvPr>
        <xdr:cNvSpPr/>
      </xdr:nvSpPr>
      <xdr:spPr>
        <a:xfrm>
          <a:off x="4000500" y="676275"/>
          <a:ext cx="1228725" cy="292100"/>
        </a:xfrm>
        <a:prstGeom prst="roundRect">
          <a:avLst/>
        </a:prstGeom>
        <a:solidFill>
          <a:srgbClr val="107C41"/>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Clear input cells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9525</xdr:colOff>
      <xdr:row>7</xdr:row>
      <xdr:rowOff>0</xdr:rowOff>
    </xdr:to>
    <xdr:grpSp>
      <xdr:nvGrpSpPr>
        <xdr:cNvPr id="2" name="Group 1">
          <a:extLst>
            <a:ext uri="{FF2B5EF4-FFF2-40B4-BE49-F238E27FC236}">
              <a16:creationId xmlns:a16="http://schemas.microsoft.com/office/drawing/2014/main" id="{8F1A607D-3834-4CA1-88C4-5DDB468B3654}"/>
            </a:ext>
          </a:extLst>
        </xdr:cNvPr>
        <xdr:cNvGrpSpPr/>
      </xdr:nvGrpSpPr>
      <xdr:grpSpPr>
        <a:xfrm>
          <a:off x="0" y="0"/>
          <a:ext cx="10715625" cy="1333500"/>
          <a:chOff x="618360" y="2809788"/>
          <a:chExt cx="10955279" cy="1238423"/>
        </a:xfrm>
      </xdr:grpSpPr>
      <xdr:pic>
        <xdr:nvPicPr>
          <xdr:cNvPr id="3" name="Picture 2">
            <a:extLst>
              <a:ext uri="{FF2B5EF4-FFF2-40B4-BE49-F238E27FC236}">
                <a16:creationId xmlns:a16="http://schemas.microsoft.com/office/drawing/2014/main" id="{8BC602C9-2C3B-1C9E-4084-1244C82D8301}"/>
              </a:ext>
            </a:extLst>
          </xdr:cNvPr>
          <xdr:cNvPicPr>
            <a:picLocks noChangeAspect="1"/>
          </xdr:cNvPicPr>
        </xdr:nvPicPr>
        <xdr:blipFill>
          <a:blip xmlns:r="http://schemas.openxmlformats.org/officeDocument/2006/relationships" r:embed="rId1"/>
          <a:stretch>
            <a:fillRect/>
          </a:stretch>
        </xdr:blipFill>
        <xdr:spPr>
          <a:xfrm>
            <a:off x="618360" y="2809788"/>
            <a:ext cx="10955279" cy="1238423"/>
          </a:xfrm>
          <a:prstGeom prst="rect">
            <a:avLst/>
          </a:prstGeom>
        </xdr:spPr>
      </xdr:pic>
      <xdr:sp macro="" textlink="">
        <xdr:nvSpPr>
          <xdr:cNvPr id="4" name="TextBox 3">
            <a:extLst>
              <a:ext uri="{FF2B5EF4-FFF2-40B4-BE49-F238E27FC236}">
                <a16:creationId xmlns:a16="http://schemas.microsoft.com/office/drawing/2014/main" id="{C344EF1F-6809-FD91-9CD3-FE721D2A0897}"/>
              </a:ext>
            </a:extLst>
          </xdr:cNvPr>
          <xdr:cNvSpPr txBox="1"/>
        </xdr:nvSpPr>
        <xdr:spPr>
          <a:xfrm>
            <a:off x="1012698" y="3039237"/>
            <a:ext cx="5818522" cy="551002"/>
          </a:xfrm>
          <a:prstGeom prst="rect">
            <a:avLst/>
          </a:prstGeom>
          <a:solidFill>
            <a:srgbClr val="0C2340"/>
          </a:solid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solidFill>
                  <a:schemeClr val="bg1"/>
                </a:solidFill>
              </a:rPr>
              <a:t>Australian</a:t>
            </a:r>
            <a:r>
              <a:rPr lang="en-US" b="1" baseline="0">
                <a:solidFill>
                  <a:schemeClr val="bg1"/>
                </a:solidFill>
              </a:rPr>
              <a:t> Dairy Carbon Calculator Data Collection Tool</a:t>
            </a:r>
            <a:endParaRPr lang="en-US" b="1">
              <a:solidFill>
                <a:schemeClr val="bg1"/>
              </a:solidFill>
            </a:endParaRPr>
          </a:p>
          <a:p>
            <a:r>
              <a:rPr lang="en-US" sz="1400">
                <a:solidFill>
                  <a:schemeClr val="bg1"/>
                </a:solidFill>
              </a:rPr>
              <a:t>Version 2 May2026</a:t>
            </a:r>
            <a:endParaRPr lang="en-AU" sz="1400">
              <a:solidFill>
                <a:schemeClr val="bg1"/>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657225</xdr:colOff>
      <xdr:row>0</xdr:row>
      <xdr:rowOff>123825</xdr:rowOff>
    </xdr:from>
    <xdr:to>
      <xdr:col>1</xdr:col>
      <xdr:colOff>1825625</xdr:colOff>
      <xdr:row>1</xdr:row>
      <xdr:rowOff>149225</xdr:rowOff>
    </xdr:to>
    <xdr:sp macro="" textlink="">
      <xdr:nvSpPr>
        <xdr:cNvPr id="2" name="Rectangle: Rounded Corners 1">
          <a:extLst>
            <a:ext uri="{FF2B5EF4-FFF2-40B4-BE49-F238E27FC236}">
              <a16:creationId xmlns:a16="http://schemas.microsoft.com/office/drawing/2014/main" id="{4511F929-8F9C-4508-9915-011F110C3F35}"/>
            </a:ext>
            <a:ext uri="{6ECC49D1-AA05-4338-93AA-15A1B29DFB0A}">
              <asl:scriptLink xmlns:asl="http://schemas.microsoft.com/office/drawing/2021/scriptlink" val="{&quot;shareId&quot;:&quot;ms-officescript%3A%2F%2Fonedrive_business_sharinglink%2Fu!aHR0cHM6Ly9kYWlyeWF1c3RyYWxpYS1teS5zaGFyZXBvaW50LmNvbS86dTovZy9wZXJzb25hbC9zY290dF9qYXJkaW5lX2RhaXJ5YXVzdHJhbGlhX2NvbV9hdS9JUUQ4MVpLZ3lKOEVRWTNWT2pIN1cxUmRBZTJ3WS1TWDhKbHROTlc4VEcwS1JQbw&quot;}"/>
            </a:ext>
          </a:extLst>
        </xdr:cNvPr>
        <xdr:cNvSpPr/>
      </xdr:nvSpPr>
      <xdr:spPr>
        <a:xfrm>
          <a:off x="2647950" y="123825"/>
          <a:ext cx="1168400" cy="292100"/>
        </a:xfrm>
        <a:prstGeom prst="roundRect">
          <a:avLst/>
        </a:prstGeom>
        <a:solidFill>
          <a:srgbClr val="107C41"/>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Clear input</a:t>
          </a:r>
          <a:r>
            <a:rPr lang="en-AU" baseline="0"/>
            <a:t> cells</a:t>
          </a:r>
          <a:endParaRPr lang="en-AU"/>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752475</xdr:colOff>
      <xdr:row>8</xdr:row>
      <xdr:rowOff>76200</xdr:rowOff>
    </xdr:from>
    <xdr:to>
      <xdr:col>4</xdr:col>
      <xdr:colOff>844550</xdr:colOff>
      <xdr:row>10</xdr:row>
      <xdr:rowOff>6350</xdr:rowOff>
    </xdr:to>
    <xdr:sp macro="" textlink="">
      <xdr:nvSpPr>
        <xdr:cNvPr id="2" name="Rectangle: Rounded Corners 1">
          <a:extLst>
            <a:ext uri="{FF2B5EF4-FFF2-40B4-BE49-F238E27FC236}">
              <a16:creationId xmlns:a16="http://schemas.microsoft.com/office/drawing/2014/main" id="{B1329536-EA30-4D51-84EE-7290F6D88751}"/>
            </a:ext>
            <a:ext uri="{6ECC49D1-AA05-4338-93AA-15A1B29DFB0A}">
              <asl:scriptLink xmlns:asl="http://schemas.microsoft.com/office/drawing/2021/scriptlink" val="{&quot;shareId&quot;:&quot;ms-officescript%3A%2F%2Fonedrive_business_sharinglink%2Fu!aHR0cHM6Ly9kYWlyeWF1c3RyYWxpYS1teS5zaGFyZXBvaW50LmNvbS86dTovZy9wZXJzb25hbC9zY290dF9qYXJkaW5lX2RhaXJ5YXVzdHJhbGlhX2NvbV9hdS9JUUQwdHVYRnY5R3NTNzNMQ1JIQk52QUhBUjZZdEdSYkFiM0VOZXJIWTZqOEpGSQ&quot;}"/>
            </a:ext>
          </a:extLst>
        </xdr:cNvPr>
        <xdr:cNvSpPr/>
      </xdr:nvSpPr>
      <xdr:spPr>
        <a:xfrm>
          <a:off x="5038725" y="1581150"/>
          <a:ext cx="1168400" cy="292100"/>
        </a:xfrm>
        <a:prstGeom prst="roundRect">
          <a:avLst/>
        </a:prstGeom>
        <a:solidFill>
          <a:srgbClr val="107C41"/>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Clear input</a:t>
          </a:r>
          <a:r>
            <a:rPr lang="en-AU" baseline="0"/>
            <a:t> cells</a:t>
          </a:r>
          <a:endParaRPr lang="en-AU"/>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742950</xdr:colOff>
      <xdr:row>0</xdr:row>
      <xdr:rowOff>158750</xdr:rowOff>
    </xdr:from>
    <xdr:to>
      <xdr:col>3</xdr:col>
      <xdr:colOff>454025</xdr:colOff>
      <xdr:row>2</xdr:row>
      <xdr:rowOff>34925</xdr:rowOff>
    </xdr:to>
    <xdr:sp macro="" textlink="">
      <xdr:nvSpPr>
        <xdr:cNvPr id="2" name="Rectangle: Rounded Corners 1">
          <a:extLst>
            <a:ext uri="{FF2B5EF4-FFF2-40B4-BE49-F238E27FC236}">
              <a16:creationId xmlns:a16="http://schemas.microsoft.com/office/drawing/2014/main" id="{8320E0FC-A34B-4C56-8DFF-7AABBBCD2B89}"/>
            </a:ext>
            <a:ext uri="{6ECC49D1-AA05-4338-93AA-15A1B29DFB0A}">
              <asl:scriptLink xmlns:asl="http://schemas.microsoft.com/office/drawing/2021/scriptlink" val="{&quot;shareId&quot;:&quot;ms-officescript%3A%2F%2Fonedrive_business_sharinglink%2Fu!aHR0cHM6Ly9kYWlyeWF1c3RyYWxpYS1teS5zaGFyZXBvaW50LmNvbS86dTovZy9wZXJzb25hbC9zY290dF9qYXJkaW5lX2RhaXJ5YXVzdHJhbGlhX2NvbV9hdS9JUURMajRDQ25rcEZTS1RHSFlHczRHRGZBYnFWTTVmOVFYZF9jbTZ0c1NoTFktOA&quot;}"/>
            </a:ext>
          </a:extLst>
        </xdr:cNvPr>
        <xdr:cNvSpPr/>
      </xdr:nvSpPr>
      <xdr:spPr>
        <a:xfrm>
          <a:off x="2867025" y="158750"/>
          <a:ext cx="1168400" cy="295275"/>
        </a:xfrm>
        <a:prstGeom prst="roundRect">
          <a:avLst/>
        </a:prstGeom>
        <a:solidFill>
          <a:srgbClr val="107C41"/>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Clear</a:t>
          </a:r>
          <a:r>
            <a:rPr lang="en-AU" baseline="0"/>
            <a:t> input cells</a:t>
          </a:r>
          <a:endParaRPr lang="en-AU"/>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4</xdr:row>
      <xdr:rowOff>609600</xdr:rowOff>
    </xdr:from>
    <xdr:to>
      <xdr:col>5</xdr:col>
      <xdr:colOff>561975</xdr:colOff>
      <xdr:row>6</xdr:row>
      <xdr:rowOff>101600</xdr:rowOff>
    </xdr:to>
    <xdr:sp macro="" textlink="">
      <xdr:nvSpPr>
        <xdr:cNvPr id="2" name="Rectangle: Rounded Corners 1">
          <a:extLst>
            <a:ext uri="{FF2B5EF4-FFF2-40B4-BE49-F238E27FC236}">
              <a16:creationId xmlns:a16="http://schemas.microsoft.com/office/drawing/2014/main" id="{F306A37E-6431-476A-A11C-44898E7BA02B}"/>
            </a:ext>
            <a:ext uri="{6ECC49D1-AA05-4338-93AA-15A1B29DFB0A}">
              <asl:scriptLink xmlns:asl="http://schemas.microsoft.com/office/drawing/2021/scriptlink" val="{&quot;shareId&quot;:&quot;ms-officescript%3A%2F%2Fonedrive_business_sharinglink%2Fu!aHR0cHM6Ly9kYWlyeWF1c3RyYWxpYS1teS5zaGFyZXBvaW50LmNvbS86dTovZy9wZXJzb25hbC9zY290dF9qYXJkaW5lX2RhaXJ5YXVzdHJhbGlhX2NvbV9hdS9JUUFLRWVOU1phQU9Ub2t4NkZGZlo3ZHRBYk9hSkowa0o0SWxFMzNLM3FkemxtSQ&quot;}"/>
            </a:ext>
          </a:extLst>
        </xdr:cNvPr>
        <xdr:cNvSpPr/>
      </xdr:nvSpPr>
      <xdr:spPr>
        <a:xfrm>
          <a:off x="4505325" y="2324100"/>
          <a:ext cx="1171575" cy="292100"/>
        </a:xfrm>
        <a:prstGeom prst="roundRect">
          <a:avLst/>
        </a:prstGeom>
        <a:solidFill>
          <a:srgbClr val="107C41"/>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Clear input cells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600075</xdr:colOff>
      <xdr:row>2</xdr:row>
      <xdr:rowOff>0</xdr:rowOff>
    </xdr:from>
    <xdr:to>
      <xdr:col>9</xdr:col>
      <xdr:colOff>542925</xdr:colOff>
      <xdr:row>2</xdr:row>
      <xdr:rowOff>292100</xdr:rowOff>
    </xdr:to>
    <xdr:sp macro="" textlink="">
      <xdr:nvSpPr>
        <xdr:cNvPr id="3" name="Rectangle: Rounded Corners 2">
          <a:extLst>
            <a:ext uri="{FF2B5EF4-FFF2-40B4-BE49-F238E27FC236}">
              <a16:creationId xmlns:a16="http://schemas.microsoft.com/office/drawing/2014/main" id="{76F0FA9A-6AFE-4DA1-A5F1-C8DDE3F8EFF3}"/>
            </a:ext>
            <a:ext uri="{6ECC49D1-AA05-4338-93AA-15A1B29DFB0A}">
              <asl:scriptLink xmlns:asl="http://schemas.microsoft.com/office/drawing/2021/scriptlink" val="{&quot;shareId&quot;:&quot;ms-officescript%3A%2F%2Fonedrive_business_sharinglink%2Fu!aHR0cHM6Ly9kYWlyeWF1c3RyYWxpYS1teS5zaGFyZXBvaW50LmNvbS86dTovZy9wZXJzb25hbC9zY290dF9qYXJkaW5lX2RhaXJ5YXVzdHJhbGlhX2NvbV9hdS9JUUF3LTlqQXhsXy1SWk1wWTlOSWhIQXlBUzl6M3ZpUllxUzR1UzZBWU9FOXI1TQ&quot;}"/>
            </a:ext>
          </a:extLst>
        </xdr:cNvPr>
        <xdr:cNvSpPr/>
      </xdr:nvSpPr>
      <xdr:spPr>
        <a:xfrm>
          <a:off x="5667375" y="419100"/>
          <a:ext cx="1162050" cy="292100"/>
        </a:xfrm>
        <a:prstGeom prst="roundRect">
          <a:avLst/>
        </a:prstGeom>
        <a:solidFill>
          <a:srgbClr val="107C41"/>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Clear input cells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596900</xdr:colOff>
      <xdr:row>2</xdr:row>
      <xdr:rowOff>0</xdr:rowOff>
    </xdr:from>
    <xdr:to>
      <xdr:col>12</xdr:col>
      <xdr:colOff>6350</xdr:colOff>
      <xdr:row>2</xdr:row>
      <xdr:rowOff>292100</xdr:rowOff>
    </xdr:to>
    <xdr:sp macro="" textlink="">
      <xdr:nvSpPr>
        <xdr:cNvPr id="2" name="Rectangle: Rounded Corners 1">
          <a:extLst>
            <a:ext uri="{FF2B5EF4-FFF2-40B4-BE49-F238E27FC236}">
              <a16:creationId xmlns:a16="http://schemas.microsoft.com/office/drawing/2014/main" id="{9A31DF59-DD38-4CB7-80E9-A67BFB2DF5B1}"/>
            </a:ext>
            <a:ext uri="{6ECC49D1-AA05-4338-93AA-15A1B29DFB0A}">
              <asl:scriptLink xmlns:asl="http://schemas.microsoft.com/office/drawing/2021/scriptlink" val="{&quot;shareId&quot;:&quot;ms-officescript%3A%2F%2Fonedrive_business_sharinglink%2Fu!aHR0cHM6Ly9kYWlyeWF1c3RyYWxpYS1teS5zaGFyZXBvaW50LmNvbS86dTovZy9wZXJzb25hbC9zY290dF9qYXJkaW5lX2RhaXJ5YXVzdHJhbGlhX2NvbV9hdS9JUUNTWFUwcjlnUi1TNG9FbTY1OGQtVHlBU2l2QXNWanJNTWxfNm5XbVhNVkdwNA&quot;}"/>
            </a:ext>
          </a:extLst>
        </xdr:cNvPr>
        <xdr:cNvSpPr/>
      </xdr:nvSpPr>
      <xdr:spPr>
        <a:xfrm>
          <a:off x="7616825" y="419100"/>
          <a:ext cx="1238250" cy="292100"/>
        </a:xfrm>
        <a:prstGeom prst="roundRect">
          <a:avLst/>
        </a:prstGeom>
        <a:solidFill>
          <a:srgbClr val="107C41"/>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Clear input cells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18</xdr:col>
      <xdr:colOff>6350</xdr:colOff>
      <xdr:row>2</xdr:row>
      <xdr:rowOff>0</xdr:rowOff>
    </xdr:from>
    <xdr:to>
      <xdr:col>18</xdr:col>
      <xdr:colOff>1244600</xdr:colOff>
      <xdr:row>3</xdr:row>
      <xdr:rowOff>111125</xdr:rowOff>
    </xdr:to>
    <xdr:sp macro="" textlink="">
      <xdr:nvSpPr>
        <xdr:cNvPr id="2" name="Rectangle: Rounded Corners 1">
          <a:extLst>
            <a:ext uri="{FF2B5EF4-FFF2-40B4-BE49-F238E27FC236}">
              <a16:creationId xmlns:a16="http://schemas.microsoft.com/office/drawing/2014/main" id="{7792DCBB-F941-45C2-AC00-D1DDD93F7241}"/>
            </a:ext>
            <a:ext uri="{6ECC49D1-AA05-4338-93AA-15A1B29DFB0A}">
              <asl:scriptLink xmlns:asl="http://schemas.microsoft.com/office/drawing/2021/scriptlink" val="{&quot;shareId&quot;:&quot;ms-officescript%3A%2F%2Fonedrive_business_sharinglink%2Fu!aHR0cHM6Ly9kYWlyeWF1c3RyYWxpYS1teS5zaGFyZXBvaW50LmNvbS86dTovZy9wZXJzb25hbC9zY290dF9qYXJkaW5lX2RhaXJ5YXVzdHJhbGlhX2NvbV9hdS9JUUJzNlhnUHgtN3VTS2MtR09mMFNpWXBBVEtJZENZRHpZUTU4R1VibVBaOVBMaw&quot;}"/>
            </a:ext>
          </a:extLst>
        </xdr:cNvPr>
        <xdr:cNvSpPr/>
      </xdr:nvSpPr>
      <xdr:spPr>
        <a:xfrm>
          <a:off x="9750425" y="266700"/>
          <a:ext cx="1238250" cy="292100"/>
        </a:xfrm>
        <a:prstGeom prst="roundRect">
          <a:avLst/>
        </a:prstGeom>
        <a:solidFill>
          <a:srgbClr val="107C41"/>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a:t>Clear input cells</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airyaustralia-my.sharepoint.com/personal/scott_jardine_dairyaustralia_com_au/Documents/Desktop/Carbon%20Calculators/ADCC%20version%206_0%20test%204%20-%20sj%20comments.xlsm" TargetMode="External"/><Relationship Id="rId2" Type="http://schemas.microsoft.com/office/2019/04/relationships/externalLinkLongPath" Target="/sites/EXT-PROJ-CarbonFarmingOutreachProgram/Shared%20Documents/General/3.%20Deliver/Development%20&amp;%20Content/ADCC/ADCC%20Data%20collection%20tool%20development/ADCC%20version%206_0%20test%204%20-%20sj%20comments.xlsm?98E96F1E" TargetMode="External"/><Relationship Id="rId1" Type="http://schemas.openxmlformats.org/officeDocument/2006/relationships/externalLinkPath" Target="file:///\\98E96F1E\ADCC%20version%206_0%20test%204%20-%20sj%20comments.xlsm" TargetMode="External"/><Relationship Id="rId4" Type="http://schemas.openxmlformats.org/officeDocument/2006/relationships/externalLinkPath" Target="../../../../../../EXT-PROJ-CarbonFarmingOutreachProgram/Shared%20Documents/General/3.%20Deliver/Development%20&amp;%20Content/ADCC/ADCC%20Data%20collection%20tool%20development/ADCC%20version%206_0%20test%204%20-%20sj%20comments.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EXT-PROJ-CarbonFarmingOutreachProgram/Shared%20Documents/General/3.%20Deliver/Development%20&amp;%20Content/ADCC/ADCC%20version%206_0%20test%204%20-%20sj%20comments.xlsm" TargetMode="External"/><Relationship Id="rId2" Type="http://schemas.openxmlformats.org/officeDocument/2006/relationships/externalLinkPath" Target="https://dairyaustralia-my.sharepoint.com/personal/scott_jardine_dairyaustralia_com_au/Documents/Desktop/Carbon%20Calculators/ADCC%20version%206_0%20test%204%20-%20sj%20comments.xlsm" TargetMode="External"/><Relationship Id="rId1" Type="http://schemas.openxmlformats.org/officeDocument/2006/relationships/externalLinkPath" Target="/sites/EXT-PROJ-CarbonFarmingOutreachProgram/Shared%20Documents/General/3.%20Deliver/Development%20&amp;%20Content/ADCC/ADCC%20version%206_0%20test%204%20-%20sj%20comments.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EXT-PROJ-CarbonFarmingOutreachProgram/Shared%20Documents/General/3.%20Deliver/Development%20&amp;%20Content/ADCC/ADCC%20Data%20Collection%20Tool%20v1.2.xlsx" TargetMode="External"/><Relationship Id="rId2" Type="http://schemas.openxmlformats.org/officeDocument/2006/relationships/externalLinkPath" Target="https://dairyaustralia.sharepoint.com/sites/EXT-PROJ-CarbonFarmingOutreachProgram/Shared%20Documents/General/3.%20Deliver/Development%20&amp;%20Content/ADCC/ADCC%20Data%20Collection%20Tool%20v1.2.xlsx" TargetMode="External"/><Relationship Id="rId1" Type="http://schemas.openxmlformats.org/officeDocument/2006/relationships/externalLinkPath" Target="/sites/EXT-PROJ-CarbonFarmingOutreachProgram/Shared%20Documents/General/3.%20Deliver/Development%20&amp;%20Content/ADCC/ADCC%20Data%20Collection%20Tool%20v1.2.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dairyaustralia-my.sharepoint.com/personal/scott_jardine_dairyaustralia_com_au/Documents/Desktop/Carbon%20Calculators/ADCC%20Data%20collection%20tool%20development/ADCC%20Data%20Collection%20Tool%20v1.32.xlsx" TargetMode="External"/><Relationship Id="rId2" Type="http://schemas.microsoft.com/office/2019/04/relationships/externalLinkLongPath" Target="/sites/EXT-PROJ-CarbonFarmingOutreachProgram/Shared%20Documents/General/3.%20Deliver/Development%20&amp;%20Content/ADCC/ADCC%20Data%20collection%20tool%20development/ADCC%20Data%20Collection%20Tool%20v1.32.xlsx?98E96F1E" TargetMode="External"/><Relationship Id="rId1" Type="http://schemas.openxmlformats.org/officeDocument/2006/relationships/externalLinkPath" Target="file:///\\98E96F1E\ADCC%20Data%20Collection%20Tool%20v1.32.xlsx" TargetMode="External"/><Relationship Id="rId4" Type="http://schemas.openxmlformats.org/officeDocument/2006/relationships/externalLinkPath" Target="../../../../../../EXT-PROJ-CarbonFarmingOutreachProgram/Shared%20Documents/General/3.%20Deliver/Development%20&amp;%20Content/ADCC/ADCC%20Data%20collection%20tool%20development/ADCC%20Data%20Collection%20Tool%20v1.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Emission factors"/>
      <sheetName val="Data for graphs"/>
      <sheetName val="Industry averages"/>
      <sheetName val="Introduction"/>
      <sheetName val="Working"/>
      <sheetName val="PopUps"/>
      <sheetName val="Your farm"/>
      <sheetName val="Strategy farm"/>
      <sheetName val="Data Summary"/>
      <sheetName val="ERAP"/>
      <sheetName val="Vegetation"/>
      <sheetName val=" Trees"/>
      <sheetName val="Other Livestock help"/>
      <sheetName val="Example farm"/>
      <sheetName val="1990 methodology comparison"/>
      <sheetName val="2015 methodology comparison"/>
      <sheetName val="2022 methodology comparison"/>
      <sheetName val="Abatement Schematic"/>
      <sheetName val="Reduce CH4 and or Increase milk"/>
      <sheetName val="Diet additives"/>
      <sheetName val="Extended lactation"/>
      <sheetName val="Extended longevity"/>
      <sheetName val="Replacing Sup with dietary fats"/>
      <sheetName val="Supplementing with dietary fats"/>
      <sheetName val="Improved diet DMD by management"/>
      <sheetName val="Improved diet DMD by Supplement"/>
      <sheetName val="N fertiliser inhibitor coated"/>
      <sheetName val="N inhibitor applied to feed"/>
      <sheetName val="Feed quality table"/>
      <sheetName val="Fertiliser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mission factors"/>
      <sheetName val="Data for graphs"/>
      <sheetName val="Industry averages"/>
      <sheetName val="Introduction"/>
      <sheetName val="Working"/>
      <sheetName val="PopUps"/>
      <sheetName val="Your farm"/>
      <sheetName val="Strategy farm"/>
      <sheetName val="Data Summary"/>
      <sheetName val="ERAP"/>
      <sheetName val="Vegetation"/>
      <sheetName val=" Trees"/>
      <sheetName val="Other Livestock help"/>
      <sheetName val="Example farm"/>
      <sheetName val="1990 methodology comparison"/>
      <sheetName val="2015 methodology comparison"/>
      <sheetName val="2022 methodology comparison"/>
      <sheetName val="Abatement Schematic"/>
      <sheetName val="Reduce CH4 and or Increase milk"/>
      <sheetName val="Diet additives"/>
      <sheetName val="Extended lactation"/>
      <sheetName val="Extended longevity"/>
      <sheetName val="Replacing Sup with dietary fats"/>
      <sheetName val="Supplementing with dietary fats"/>
      <sheetName val="Improved diet DMD by management"/>
      <sheetName val="Improved diet DMD by Supplement"/>
      <sheetName val="N fertiliser inhibitor coated"/>
      <sheetName val="N inhibitor applied to feed"/>
      <sheetName val="Feed quality table"/>
      <sheetName val="Fertiliser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ex"/>
      <sheetName val="Farm details"/>
      <sheetName val="Livestock"/>
      <sheetName val="Milk production"/>
      <sheetName val="Diet"/>
      <sheetName val="Fertilisers - total tonnes"/>
      <sheetName val="Fertilisers - kg per ha"/>
      <sheetName val="Energy consumption"/>
      <sheetName val="Purchased Supplements"/>
      <sheetName val="Trees"/>
      <sheetName val="Effluent"/>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Notes"/>
      <sheetName val="Index"/>
      <sheetName val="Farm details"/>
      <sheetName val="Livestock"/>
      <sheetName val="Milk production"/>
      <sheetName val="Diet"/>
      <sheetName val="Fertilisers - total tonnes"/>
      <sheetName val="Fertilisers - kg per ha"/>
      <sheetName val="Energy consumption"/>
      <sheetName val="Purchased Supplements"/>
      <sheetName val="Effluent"/>
      <sheetName val="Trees"/>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76AB-BAF0-4F91-AD0E-5FC872951648}">
  <dimension ref="A1:B9"/>
  <sheetViews>
    <sheetView workbookViewId="0">
      <selection activeCell="B5" sqref="B5:B6"/>
    </sheetView>
  </sheetViews>
  <sheetFormatPr defaultRowHeight="15"/>
  <cols>
    <col min="1" max="1" width="19.42578125" customWidth="1"/>
  </cols>
  <sheetData>
    <row r="1" spans="1:2">
      <c r="A1" t="s">
        <v>0</v>
      </c>
    </row>
    <row r="2" spans="1:2">
      <c r="A2" t="s">
        <v>1</v>
      </c>
      <c r="B2" s="87" t="s">
        <v>2</v>
      </c>
    </row>
    <row r="3" spans="1:2">
      <c r="B3" s="87"/>
    </row>
    <row r="4" spans="1:2">
      <c r="A4" t="s">
        <v>3</v>
      </c>
      <c r="B4" s="87"/>
    </row>
    <row r="5" spans="1:2">
      <c r="A5" t="s">
        <v>4</v>
      </c>
      <c r="B5" s="82" t="s">
        <v>5</v>
      </c>
    </row>
    <row r="6" spans="1:2">
      <c r="B6" s="82" t="s">
        <v>6</v>
      </c>
    </row>
    <row r="7" spans="1:2">
      <c r="B7" s="87"/>
    </row>
    <row r="8" spans="1:2">
      <c r="A8" t="s">
        <v>7</v>
      </c>
    </row>
    <row r="9" spans="1:2">
      <c r="A9" t="s">
        <v>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BFCB-BAE4-4FB0-8DDB-5DA51B2E2FE1}">
  <sheetPr codeName="Sheet9"/>
  <dimension ref="A1:AB77"/>
  <sheetViews>
    <sheetView topLeftCell="A2" workbookViewId="0">
      <selection activeCell="A2" sqref="A2"/>
    </sheetView>
  </sheetViews>
  <sheetFormatPr defaultColWidth="0" defaultRowHeight="15" zeroHeight="1"/>
  <cols>
    <col min="1" max="1" width="8.7109375" customWidth="1"/>
    <col min="2" max="2" width="17.7109375" bestFit="1" customWidth="1"/>
    <col min="3" max="3" width="16.85546875" bestFit="1" customWidth="1"/>
    <col min="4" max="5" width="8.7109375" hidden="1" customWidth="1"/>
    <col min="6" max="6" width="8.7109375" customWidth="1"/>
    <col min="7" max="7" width="10.42578125" bestFit="1" customWidth="1"/>
    <col min="8" max="8" width="16.85546875" bestFit="1" customWidth="1"/>
    <col min="9" max="11" width="8.7109375" hidden="1" customWidth="1"/>
    <col min="12" max="12" width="8.7109375" customWidth="1"/>
    <col min="13" max="13" width="17.28515625" bestFit="1" customWidth="1"/>
    <col min="14" max="14" width="16.85546875" bestFit="1" customWidth="1"/>
    <col min="15" max="16" width="8.7109375" hidden="1" customWidth="1"/>
    <col min="17" max="18" width="8.7109375" customWidth="1"/>
    <col min="19" max="19" width="21.28515625" bestFit="1" customWidth="1"/>
    <col min="20" max="20" width="29.5703125" bestFit="1" customWidth="1"/>
    <col min="21" max="21" width="10.140625" bestFit="1" customWidth="1"/>
    <col min="22" max="23" width="8.7109375" customWidth="1"/>
    <col min="24" max="26" width="8.7109375" hidden="1" customWidth="1"/>
    <col min="27" max="27" width="34.140625" hidden="1" customWidth="1"/>
    <col min="28" max="16384" width="8.7109375" hidden="1"/>
  </cols>
  <sheetData>
    <row r="1" spans="1:28" hidden="1">
      <c r="A1" t="e">
        <f>RIGHT('Farm details'!B3,2)+1</f>
        <v>#VALUE!</v>
      </c>
      <c r="B1" t="e">
        <f>IF(OR(MOD(A1,400)=0,AND(MOD(A1,4)=0,MOD(A1,100)&lt;&gt;0)),"Leap Year", "NOT a Leap Year")</f>
        <v>#VALUE!</v>
      </c>
    </row>
    <row r="2" spans="1:28" ht="21">
      <c r="B2" s="2" t="s">
        <v>323</v>
      </c>
    </row>
    <row r="3" spans="1:28">
      <c r="B3" s="39" t="s">
        <v>324</v>
      </c>
    </row>
    <row r="4" spans="1:28">
      <c r="B4" t="s">
        <v>325</v>
      </c>
    </row>
    <row r="5" spans="1:28">
      <c r="B5" t="s">
        <v>326</v>
      </c>
    </row>
    <row r="6" spans="1:28">
      <c r="B6" t="s">
        <v>327</v>
      </c>
    </row>
    <row r="7" spans="1:28" ht="18.75">
      <c r="B7" s="1" t="s">
        <v>328</v>
      </c>
      <c r="G7" s="1" t="s">
        <v>329</v>
      </c>
      <c r="M7" s="1" t="s">
        <v>330</v>
      </c>
      <c r="S7" s="61" t="s">
        <v>331</v>
      </c>
      <c r="T7" s="38"/>
      <c r="U7" s="38"/>
      <c r="AA7" t="s">
        <v>332</v>
      </c>
      <c r="AB7">
        <v>3</v>
      </c>
    </row>
    <row r="8" spans="1:28">
      <c r="S8" s="38"/>
      <c r="T8" s="38"/>
      <c r="U8" s="38"/>
      <c r="AA8" t="s">
        <v>333</v>
      </c>
      <c r="AB8">
        <v>3</v>
      </c>
    </row>
    <row r="9" spans="1:28">
      <c r="B9" t="s">
        <v>334</v>
      </c>
      <c r="C9" s="39" t="s">
        <v>335</v>
      </c>
      <c r="D9" t="s">
        <v>336</v>
      </c>
      <c r="E9" t="s">
        <v>337</v>
      </c>
      <c r="G9" t="s">
        <v>334</v>
      </c>
      <c r="H9" s="39" t="s">
        <v>335</v>
      </c>
      <c r="I9" t="s">
        <v>336</v>
      </c>
      <c r="J9" t="s">
        <v>337</v>
      </c>
      <c r="M9" t="s">
        <v>334</v>
      </c>
      <c r="N9" s="39" t="s">
        <v>335</v>
      </c>
      <c r="O9" t="s">
        <v>336</v>
      </c>
      <c r="P9" t="s">
        <v>337</v>
      </c>
      <c r="S9" s="61" t="s">
        <v>338</v>
      </c>
      <c r="T9" t="e">
        <f>SUM(E10:E21,J10:J21,P10:P21)</f>
        <v>#VALUE!</v>
      </c>
      <c r="U9" s="38" t="s">
        <v>339</v>
      </c>
      <c r="AA9" t="s">
        <v>340</v>
      </c>
      <c r="AB9">
        <v>3</v>
      </c>
    </row>
    <row r="10" spans="1:28">
      <c r="B10" t="s">
        <v>341</v>
      </c>
      <c r="C10" s="71"/>
      <c r="D10">
        <v>31</v>
      </c>
      <c r="E10">
        <f>C10*D10</f>
        <v>0</v>
      </c>
      <c r="G10" t="s">
        <v>341</v>
      </c>
      <c r="H10" s="71"/>
      <c r="I10">
        <v>31</v>
      </c>
      <c r="J10">
        <f>H10*I10</f>
        <v>0</v>
      </c>
      <c r="M10" t="s">
        <v>341</v>
      </c>
      <c r="N10" s="71"/>
      <c r="O10">
        <v>31</v>
      </c>
      <c r="P10">
        <f>N10*O10</f>
        <v>0</v>
      </c>
      <c r="S10" s="38"/>
      <c r="U10" s="38"/>
      <c r="AA10" t="s">
        <v>342</v>
      </c>
      <c r="AB10">
        <v>3</v>
      </c>
    </row>
    <row r="11" spans="1:28">
      <c r="B11" t="s">
        <v>343</v>
      </c>
      <c r="C11" s="71"/>
      <c r="D11">
        <v>31</v>
      </c>
      <c r="E11">
        <f t="shared" ref="E11:E21" si="0">C11*D11</f>
        <v>0</v>
      </c>
      <c r="G11" t="s">
        <v>343</v>
      </c>
      <c r="H11" s="71"/>
      <c r="I11">
        <v>31</v>
      </c>
      <c r="J11">
        <f t="shared" ref="J11:J21" si="1">H11*I11</f>
        <v>0</v>
      </c>
      <c r="M11" t="s">
        <v>343</v>
      </c>
      <c r="N11" s="71"/>
      <c r="O11">
        <v>31</v>
      </c>
      <c r="P11">
        <f t="shared" ref="P11:P21" si="2">N11*O11</f>
        <v>0</v>
      </c>
      <c r="S11" s="38" t="s">
        <v>344</v>
      </c>
      <c r="T11">
        <f>SUM(C29:C40,H29:H40)</f>
        <v>0</v>
      </c>
      <c r="U11" s="38" t="s">
        <v>111</v>
      </c>
      <c r="AA11" t="s">
        <v>345</v>
      </c>
      <c r="AB11">
        <v>3</v>
      </c>
    </row>
    <row r="12" spans="1:28">
      <c r="B12" t="s">
        <v>346</v>
      </c>
      <c r="C12" s="71"/>
      <c r="D12">
        <v>30</v>
      </c>
      <c r="E12">
        <f t="shared" si="0"/>
        <v>0</v>
      </c>
      <c r="G12" t="s">
        <v>346</v>
      </c>
      <c r="H12" s="71"/>
      <c r="I12">
        <v>30</v>
      </c>
      <c r="J12">
        <f t="shared" si="1"/>
        <v>0</v>
      </c>
      <c r="M12" t="s">
        <v>346</v>
      </c>
      <c r="N12" s="71"/>
      <c r="O12">
        <v>30</v>
      </c>
      <c r="P12">
        <f t="shared" si="2"/>
        <v>0</v>
      </c>
      <c r="S12" s="38"/>
      <c r="U12" s="38"/>
      <c r="AA12" t="s">
        <v>347</v>
      </c>
      <c r="AB12">
        <v>3</v>
      </c>
    </row>
    <row r="13" spans="1:28">
      <c r="B13" t="s">
        <v>348</v>
      </c>
      <c r="C13" s="71"/>
      <c r="D13">
        <v>31</v>
      </c>
      <c r="E13">
        <f t="shared" si="0"/>
        <v>0</v>
      </c>
      <c r="G13" t="s">
        <v>348</v>
      </c>
      <c r="H13" s="71"/>
      <c r="I13">
        <v>31</v>
      </c>
      <c r="J13">
        <f t="shared" si="1"/>
        <v>0</v>
      </c>
      <c r="M13" t="s">
        <v>348</v>
      </c>
      <c r="N13" s="71"/>
      <c r="O13">
        <v>31</v>
      </c>
      <c r="P13">
        <f t="shared" si="2"/>
        <v>0</v>
      </c>
      <c r="S13" s="38" t="s">
        <v>349</v>
      </c>
      <c r="T13">
        <f>SUM(P28:P41)</f>
        <v>0</v>
      </c>
      <c r="U13" s="38" t="s">
        <v>111</v>
      </c>
      <c r="AA13" t="s">
        <v>350</v>
      </c>
      <c r="AB13">
        <v>9</v>
      </c>
    </row>
    <row r="14" spans="1:28">
      <c r="B14" t="s">
        <v>351</v>
      </c>
      <c r="C14" s="71"/>
      <c r="D14">
        <v>30</v>
      </c>
      <c r="E14">
        <f t="shared" si="0"/>
        <v>0</v>
      </c>
      <c r="G14" t="s">
        <v>351</v>
      </c>
      <c r="H14" s="71"/>
      <c r="I14">
        <v>30</v>
      </c>
      <c r="J14">
        <f t="shared" si="1"/>
        <v>0</v>
      </c>
      <c r="M14" t="s">
        <v>351</v>
      </c>
      <c r="N14" s="71"/>
      <c r="O14">
        <v>30</v>
      </c>
      <c r="P14">
        <f t="shared" si="2"/>
        <v>0</v>
      </c>
      <c r="AA14" t="s">
        <v>352</v>
      </c>
      <c r="AB14">
        <v>9</v>
      </c>
    </row>
    <row r="15" spans="1:28">
      <c r="B15" t="s">
        <v>353</v>
      </c>
      <c r="C15" s="71"/>
      <c r="D15">
        <v>31</v>
      </c>
      <c r="E15">
        <f t="shared" si="0"/>
        <v>0</v>
      </c>
      <c r="G15" t="s">
        <v>353</v>
      </c>
      <c r="H15" s="71"/>
      <c r="I15">
        <v>31</v>
      </c>
      <c r="J15">
        <f t="shared" si="1"/>
        <v>0</v>
      </c>
      <c r="M15" t="s">
        <v>353</v>
      </c>
      <c r="N15" s="71"/>
      <c r="O15">
        <v>31</v>
      </c>
      <c r="P15">
        <f t="shared" si="2"/>
        <v>0</v>
      </c>
      <c r="AA15" t="s">
        <v>354</v>
      </c>
      <c r="AB15">
        <v>9</v>
      </c>
    </row>
    <row r="16" spans="1:28">
      <c r="B16" t="s">
        <v>355</v>
      </c>
      <c r="C16" s="71"/>
      <c r="D16">
        <v>31</v>
      </c>
      <c r="E16">
        <f t="shared" si="0"/>
        <v>0</v>
      </c>
      <c r="G16" t="s">
        <v>355</v>
      </c>
      <c r="H16" s="71"/>
      <c r="I16">
        <v>31</v>
      </c>
      <c r="J16">
        <f t="shared" si="1"/>
        <v>0</v>
      </c>
      <c r="M16" t="s">
        <v>355</v>
      </c>
      <c r="N16" s="71"/>
      <c r="O16">
        <v>31</v>
      </c>
      <c r="P16">
        <f t="shared" si="2"/>
        <v>0</v>
      </c>
      <c r="AA16" t="s">
        <v>356</v>
      </c>
      <c r="AB16">
        <v>9</v>
      </c>
    </row>
    <row r="17" spans="2:28">
      <c r="B17" t="s">
        <v>357</v>
      </c>
      <c r="C17" s="71"/>
      <c r="D17" t="e">
        <f>IF(B1="Leap Year",29,28)</f>
        <v>#VALUE!</v>
      </c>
      <c r="E17" t="e">
        <f t="shared" si="0"/>
        <v>#VALUE!</v>
      </c>
      <c r="G17" t="s">
        <v>357</v>
      </c>
      <c r="H17" s="71"/>
      <c r="I17">
        <f>IF(G1="Leap Year",29,28)</f>
        <v>28</v>
      </c>
      <c r="J17">
        <f t="shared" si="1"/>
        <v>0</v>
      </c>
      <c r="M17" t="s">
        <v>357</v>
      </c>
      <c r="N17" s="71"/>
      <c r="O17">
        <f>IF(M1="Leap Year",29,28)</f>
        <v>28</v>
      </c>
      <c r="P17">
        <f t="shared" si="2"/>
        <v>0</v>
      </c>
      <c r="AA17" t="s">
        <v>358</v>
      </c>
      <c r="AB17">
        <v>9</v>
      </c>
    </row>
    <row r="18" spans="2:28">
      <c r="B18" t="s">
        <v>359</v>
      </c>
      <c r="C18" s="71"/>
      <c r="D18">
        <v>31</v>
      </c>
      <c r="E18">
        <f t="shared" si="0"/>
        <v>0</v>
      </c>
      <c r="G18" t="s">
        <v>359</v>
      </c>
      <c r="H18" s="71"/>
      <c r="I18">
        <v>31</v>
      </c>
      <c r="J18">
        <f t="shared" si="1"/>
        <v>0</v>
      </c>
      <c r="M18" t="s">
        <v>359</v>
      </c>
      <c r="N18" s="71"/>
      <c r="O18">
        <v>31</v>
      </c>
      <c r="P18">
        <f t="shared" si="2"/>
        <v>0</v>
      </c>
      <c r="AA18" t="s">
        <v>360</v>
      </c>
      <c r="AB18">
        <v>12</v>
      </c>
    </row>
    <row r="19" spans="2:28">
      <c r="B19" t="s">
        <v>361</v>
      </c>
      <c r="C19" s="71"/>
      <c r="D19">
        <v>30</v>
      </c>
      <c r="E19">
        <f t="shared" si="0"/>
        <v>0</v>
      </c>
      <c r="G19" t="s">
        <v>361</v>
      </c>
      <c r="H19" s="71"/>
      <c r="I19">
        <v>30</v>
      </c>
      <c r="J19">
        <f t="shared" si="1"/>
        <v>0</v>
      </c>
      <c r="M19" t="s">
        <v>361</v>
      </c>
      <c r="N19" s="71"/>
      <c r="O19">
        <v>30</v>
      </c>
      <c r="P19">
        <f t="shared" si="2"/>
        <v>0</v>
      </c>
      <c r="S19" s="80" t="s">
        <v>52</v>
      </c>
      <c r="T19" s="81" t="s">
        <v>362</v>
      </c>
      <c r="U19" s="80" t="s">
        <v>53</v>
      </c>
      <c r="AA19" t="s">
        <v>363</v>
      </c>
      <c r="AB19">
        <v>16</v>
      </c>
    </row>
    <row r="20" spans="2:28">
      <c r="B20" t="s">
        <v>364</v>
      </c>
      <c r="C20" s="71"/>
      <c r="D20">
        <v>31</v>
      </c>
      <c r="E20">
        <f t="shared" si="0"/>
        <v>0</v>
      </c>
      <c r="G20" t="s">
        <v>364</v>
      </c>
      <c r="H20" s="71"/>
      <c r="I20">
        <v>31</v>
      </c>
      <c r="J20">
        <f t="shared" si="1"/>
        <v>0</v>
      </c>
      <c r="M20" t="s">
        <v>364</v>
      </c>
      <c r="N20" s="71"/>
      <c r="O20">
        <v>31</v>
      </c>
      <c r="P20">
        <f t="shared" si="2"/>
        <v>0</v>
      </c>
      <c r="T20" s="81" t="s">
        <v>365</v>
      </c>
      <c r="AA20" t="s">
        <v>366</v>
      </c>
      <c r="AB20">
        <v>16</v>
      </c>
    </row>
    <row r="21" spans="2:28">
      <c r="B21" t="s">
        <v>367</v>
      </c>
      <c r="C21" s="71"/>
      <c r="D21">
        <v>30</v>
      </c>
      <c r="E21">
        <f t="shared" si="0"/>
        <v>0</v>
      </c>
      <c r="G21" t="s">
        <v>367</v>
      </c>
      <c r="H21" s="71"/>
      <c r="I21">
        <v>30</v>
      </c>
      <c r="J21">
        <f t="shared" si="1"/>
        <v>0</v>
      </c>
      <c r="M21" t="s">
        <v>367</v>
      </c>
      <c r="N21" s="71"/>
      <c r="O21">
        <v>30</v>
      </c>
      <c r="P21">
        <f t="shared" si="2"/>
        <v>0</v>
      </c>
      <c r="AA21" t="s">
        <v>368</v>
      </c>
      <c r="AB21">
        <v>16</v>
      </c>
    </row>
    <row r="22" spans="2:28">
      <c r="AA22" t="s">
        <v>369</v>
      </c>
      <c r="AB22">
        <v>18</v>
      </c>
    </row>
    <row r="23" spans="2:28">
      <c r="AA23" t="s">
        <v>370</v>
      </c>
      <c r="AB23">
        <v>20</v>
      </c>
    </row>
    <row r="24" spans="2:28" ht="45" customHeight="1">
      <c r="M24" s="114" t="s">
        <v>371</v>
      </c>
      <c r="N24" s="114"/>
      <c r="O24" s="114"/>
      <c r="P24" s="114"/>
      <c r="Q24" s="114"/>
      <c r="R24" s="114"/>
      <c r="S24" s="114"/>
      <c r="T24" s="114"/>
      <c r="AA24" t="s">
        <v>372</v>
      </c>
      <c r="AB24">
        <v>22</v>
      </c>
    </row>
    <row r="25" spans="2:28">
      <c r="AA25" t="s">
        <v>373</v>
      </c>
      <c r="AB25">
        <v>18</v>
      </c>
    </row>
    <row r="26" spans="2:28" ht="18.75">
      <c r="B26" s="1" t="s">
        <v>374</v>
      </c>
      <c r="G26" s="1" t="s">
        <v>375</v>
      </c>
      <c r="M26" s="86" t="s">
        <v>349</v>
      </c>
      <c r="N26" s="69"/>
      <c r="O26" s="69"/>
      <c r="S26" s="70"/>
      <c r="AA26" t="s">
        <v>376</v>
      </c>
      <c r="AB26">
        <v>20</v>
      </c>
    </row>
    <row r="27" spans="2:28">
      <c r="M27" s="39" t="s">
        <v>377</v>
      </c>
      <c r="N27" s="39" t="s">
        <v>320</v>
      </c>
      <c r="O27" s="39" t="s">
        <v>378</v>
      </c>
      <c r="P27" s="39" t="s">
        <v>111</v>
      </c>
      <c r="AA27" t="s">
        <v>379</v>
      </c>
      <c r="AB27">
        <v>22</v>
      </c>
    </row>
    <row r="28" spans="2:28">
      <c r="B28" t="s">
        <v>334</v>
      </c>
      <c r="C28" t="s">
        <v>111</v>
      </c>
      <c r="G28" t="s">
        <v>334</v>
      </c>
      <c r="H28" t="s">
        <v>111</v>
      </c>
      <c r="M28" s="71"/>
      <c r="N28" s="71"/>
      <c r="O28" t="str">
        <f t="shared" ref="O28:O41" si="3">IFERROR(VLOOKUP(M28,$AA$7:$AB$27,2,FALSE),"")</f>
        <v/>
      </c>
      <c r="P28" t="str">
        <f t="shared" ref="P28:P41" si="4">IFERROR(N28*O28,"")</f>
        <v/>
      </c>
    </row>
    <row r="29" spans="2:28">
      <c r="B29" t="s">
        <v>341</v>
      </c>
      <c r="C29" s="71"/>
      <c r="G29" t="s">
        <v>341</v>
      </c>
      <c r="H29" s="71"/>
      <c r="M29" s="71"/>
      <c r="N29" s="71"/>
      <c r="O29" t="str">
        <f t="shared" si="3"/>
        <v/>
      </c>
      <c r="P29" t="str">
        <f t="shared" si="4"/>
        <v/>
      </c>
    </row>
    <row r="30" spans="2:28">
      <c r="B30" t="s">
        <v>343</v>
      </c>
      <c r="C30" s="71"/>
      <c r="G30" t="s">
        <v>343</v>
      </c>
      <c r="H30" s="71"/>
      <c r="M30" s="71"/>
      <c r="N30" s="71"/>
      <c r="O30" t="str">
        <f t="shared" si="3"/>
        <v/>
      </c>
      <c r="P30" t="str">
        <f t="shared" si="4"/>
        <v/>
      </c>
    </row>
    <row r="31" spans="2:28">
      <c r="B31" t="s">
        <v>346</v>
      </c>
      <c r="C31" s="71"/>
      <c r="G31" t="s">
        <v>346</v>
      </c>
      <c r="H31" s="71"/>
      <c r="M31" s="71"/>
      <c r="N31" s="71"/>
      <c r="O31" t="str">
        <f t="shared" si="3"/>
        <v/>
      </c>
      <c r="P31" t="str">
        <f t="shared" si="4"/>
        <v/>
      </c>
    </row>
    <row r="32" spans="2:28">
      <c r="B32" t="s">
        <v>348</v>
      </c>
      <c r="C32" s="71"/>
      <c r="G32" t="s">
        <v>348</v>
      </c>
      <c r="H32" s="71"/>
      <c r="M32" s="71"/>
      <c r="N32" s="71"/>
      <c r="O32" t="str">
        <f t="shared" si="3"/>
        <v/>
      </c>
      <c r="P32" t="str">
        <f t="shared" si="4"/>
        <v/>
      </c>
    </row>
    <row r="33" spans="2:16">
      <c r="B33" t="s">
        <v>351</v>
      </c>
      <c r="C33" s="71"/>
      <c r="G33" t="s">
        <v>351</v>
      </c>
      <c r="H33" s="71"/>
      <c r="M33" s="71"/>
      <c r="N33" s="71"/>
      <c r="O33" t="str">
        <f t="shared" si="3"/>
        <v/>
      </c>
      <c r="P33" t="str">
        <f t="shared" si="4"/>
        <v/>
      </c>
    </row>
    <row r="34" spans="2:16">
      <c r="B34" t="s">
        <v>353</v>
      </c>
      <c r="C34" s="71"/>
      <c r="G34" t="s">
        <v>353</v>
      </c>
      <c r="H34" s="71"/>
      <c r="M34" s="71"/>
      <c r="N34" s="71"/>
      <c r="O34" t="str">
        <f t="shared" si="3"/>
        <v/>
      </c>
      <c r="P34" t="str">
        <f t="shared" si="4"/>
        <v/>
      </c>
    </row>
    <row r="35" spans="2:16">
      <c r="B35" t="s">
        <v>355</v>
      </c>
      <c r="C35" s="71"/>
      <c r="G35" t="s">
        <v>355</v>
      </c>
      <c r="H35" s="71"/>
      <c r="M35" s="71"/>
      <c r="N35" s="71"/>
      <c r="O35" t="str">
        <f t="shared" si="3"/>
        <v/>
      </c>
      <c r="P35" t="str">
        <f t="shared" si="4"/>
        <v/>
      </c>
    </row>
    <row r="36" spans="2:16">
      <c r="B36" t="s">
        <v>357</v>
      </c>
      <c r="C36" s="71"/>
      <c r="G36" t="s">
        <v>357</v>
      </c>
      <c r="H36" s="71"/>
      <c r="M36" s="71"/>
      <c r="N36" s="71"/>
      <c r="O36" t="str">
        <f t="shared" si="3"/>
        <v/>
      </c>
      <c r="P36" t="str">
        <f t="shared" si="4"/>
        <v/>
      </c>
    </row>
    <row r="37" spans="2:16">
      <c r="B37" t="s">
        <v>359</v>
      </c>
      <c r="C37" s="71"/>
      <c r="G37" t="s">
        <v>359</v>
      </c>
      <c r="H37" s="71"/>
      <c r="M37" s="71"/>
      <c r="N37" s="71"/>
      <c r="O37" t="str">
        <f t="shared" si="3"/>
        <v/>
      </c>
      <c r="P37" t="str">
        <f t="shared" si="4"/>
        <v/>
      </c>
    </row>
    <row r="38" spans="2:16">
      <c r="B38" t="s">
        <v>361</v>
      </c>
      <c r="C38" s="71"/>
      <c r="G38" t="s">
        <v>361</v>
      </c>
      <c r="H38" s="71"/>
      <c r="M38" s="71"/>
      <c r="N38" s="71"/>
      <c r="O38" t="str">
        <f t="shared" si="3"/>
        <v/>
      </c>
      <c r="P38" t="str">
        <f t="shared" si="4"/>
        <v/>
      </c>
    </row>
    <row r="39" spans="2:16">
      <c r="B39" t="s">
        <v>364</v>
      </c>
      <c r="C39" s="71"/>
      <c r="G39" t="s">
        <v>364</v>
      </c>
      <c r="H39" s="71"/>
      <c r="M39" s="71"/>
      <c r="N39" s="71"/>
      <c r="O39" t="str">
        <f t="shared" si="3"/>
        <v/>
      </c>
      <c r="P39" t="str">
        <f t="shared" si="4"/>
        <v/>
      </c>
    </row>
    <row r="40" spans="2:16">
      <c r="B40" t="s">
        <v>367</v>
      </c>
      <c r="C40" s="71"/>
      <c r="G40" t="s">
        <v>367</v>
      </c>
      <c r="H40" s="71"/>
      <c r="M40" s="71"/>
      <c r="N40" s="71"/>
      <c r="O40" t="str">
        <f t="shared" si="3"/>
        <v/>
      </c>
      <c r="P40" t="str">
        <f t="shared" si="4"/>
        <v/>
      </c>
    </row>
    <row r="41" spans="2:16">
      <c r="M41" s="71"/>
      <c r="N41" s="71"/>
      <c r="O41" t="str">
        <f t="shared" si="3"/>
        <v/>
      </c>
      <c r="P41" t="str">
        <f t="shared" si="4"/>
        <v/>
      </c>
    </row>
    <row r="42" spans="2:16">
      <c r="M42" s="5"/>
      <c r="N42" s="5"/>
    </row>
    <row r="43" spans="2:16">
      <c r="M43" s="5"/>
      <c r="N43" s="5"/>
    </row>
    <row r="44" spans="2:16" hidden="1">
      <c r="M44" s="5"/>
      <c r="N44" s="5"/>
    </row>
    <row r="45" spans="2:16" hidden="1">
      <c r="M45" s="5"/>
      <c r="N45" s="5"/>
    </row>
    <row r="46" spans="2:16" hidden="1">
      <c r="M46" s="5"/>
      <c r="N46" s="5"/>
    </row>
    <row r="47" spans="2:16" hidden="1">
      <c r="M47" s="5"/>
      <c r="N47" s="5"/>
    </row>
    <row r="48" spans="2:16" hidden="1">
      <c r="M48" s="5"/>
      <c r="N48" s="5"/>
    </row>
    <row r="49" spans="13:14" hidden="1">
      <c r="M49" s="5"/>
      <c r="N49" s="5"/>
    </row>
    <row r="50" spans="13:14" hidden="1">
      <c r="M50" s="5"/>
      <c r="N50" s="5"/>
    </row>
    <row r="51" spans="13:14" hidden="1">
      <c r="M51" s="5"/>
      <c r="N51" s="5"/>
    </row>
    <row r="52" spans="13:14" hidden="1">
      <c r="M52" s="5"/>
      <c r="N52" s="5"/>
    </row>
    <row r="53" spans="13:14" hidden="1">
      <c r="M53" s="5"/>
      <c r="N53" s="5"/>
    </row>
    <row r="54" spans="13:14" hidden="1">
      <c r="M54" s="5"/>
      <c r="N54" s="5"/>
    </row>
    <row r="55" spans="13:14" hidden="1">
      <c r="M55" s="5"/>
      <c r="N55" s="5"/>
    </row>
    <row r="56" spans="13:14" hidden="1">
      <c r="M56" s="5"/>
      <c r="N56" s="5"/>
    </row>
    <row r="57" spans="13:14" hidden="1">
      <c r="M57" s="5"/>
      <c r="N57" s="5"/>
    </row>
    <row r="58" spans="13:14" hidden="1">
      <c r="M58" s="5"/>
      <c r="N58" s="5"/>
    </row>
    <row r="59" spans="13:14" hidden="1">
      <c r="M59" s="5"/>
      <c r="N59" s="5"/>
    </row>
    <row r="60" spans="13:14" hidden="1">
      <c r="M60" s="5"/>
      <c r="N60" s="5"/>
    </row>
    <row r="61" spans="13:14" hidden="1">
      <c r="M61" s="5"/>
      <c r="N61" s="5"/>
    </row>
    <row r="62" spans="13:14" hidden="1">
      <c r="M62" s="5"/>
      <c r="N62" s="5"/>
    </row>
    <row r="63" spans="13:14" hidden="1">
      <c r="M63" s="5"/>
      <c r="N63" s="5"/>
    </row>
    <row r="64" spans="13:14" hidden="1">
      <c r="M64" s="5"/>
      <c r="N64" s="5"/>
    </row>
    <row r="65" spans="13:14" hidden="1">
      <c r="M65" s="5"/>
      <c r="N65" s="5"/>
    </row>
    <row r="66" spans="13:14" hidden="1">
      <c r="M66" s="5"/>
      <c r="N66" s="5"/>
    </row>
    <row r="67" spans="13:14" hidden="1">
      <c r="M67" s="5"/>
      <c r="N67" s="5"/>
    </row>
    <row r="68" spans="13:14" hidden="1">
      <c r="M68" s="5"/>
      <c r="N68" s="5"/>
    </row>
    <row r="69" spans="13:14" hidden="1">
      <c r="M69" s="5"/>
      <c r="N69" s="5"/>
    </row>
    <row r="70" spans="13:14" hidden="1">
      <c r="M70" s="5"/>
      <c r="N70" s="5"/>
    </row>
    <row r="71" spans="13:14" hidden="1">
      <c r="M71" s="5"/>
      <c r="N71" s="5"/>
    </row>
    <row r="72" spans="13:14" hidden="1">
      <c r="M72" s="5"/>
      <c r="N72" s="5"/>
    </row>
    <row r="73" spans="13:14" hidden="1">
      <c r="M73" s="5"/>
      <c r="N73" s="5"/>
    </row>
    <row r="74" spans="13:14" hidden="1">
      <c r="M74" s="5"/>
      <c r="N74" s="5"/>
    </row>
    <row r="75" spans="13:14" hidden="1">
      <c r="M75" s="5"/>
      <c r="N75" s="5"/>
    </row>
    <row r="76" spans="13:14" hidden="1">
      <c r="M76" s="5"/>
      <c r="N76" s="5"/>
    </row>
    <row r="77" spans="13:14" hidden="1">
      <c r="M77" s="5"/>
      <c r="N77" s="5"/>
    </row>
  </sheetData>
  <sheetProtection algorithmName="SHA-512" hashValue="wD8EOv3CqYeiw6kSTsVKULqZguFwATXtjraDAgJ8dMTf6FfrqgIJYKUhkD88E69kzDBbfExROJ7WhIWe1hIutg==" saltValue="KuccQzP96CP0wcKlRGcDmw==" spinCount="100000" sheet="1" objects="1" scenarios="1"/>
  <mergeCells count="1">
    <mergeCell ref="M24:T24"/>
  </mergeCells>
  <phoneticPr fontId="7" type="noConversion"/>
  <dataValidations count="1">
    <dataValidation type="list" allowBlank="1" showInputMessage="1" showErrorMessage="1" sqref="M28:M77" xr:uid="{31CD967C-5FD0-477E-8359-9215DEC5ECD0}">
      <formula1>$AA$7:$AA$27</formula1>
    </dataValidation>
  </dataValidations>
  <hyperlinks>
    <hyperlink ref="S19" location="Index!A1" display="Back to index" xr:uid="{843DCAEE-E6C6-41F8-B075-4C33D12F4566}"/>
    <hyperlink ref="U19" location="'Purchased Supplements'!A1" display="Next sheet" xr:uid="{5B6ED592-B9EB-4578-8F25-91ED741B239D}"/>
    <hyperlink ref="T19" location="'Fertilisers - total tonnes'!A1" display="Previous sheet" xr:uid="{8E1D96DE-DFD6-4EC8-9CC1-E7BFBAF91787}"/>
    <hyperlink ref="T20" location="'Fertilisers - kg per ha'!A1" display="Previous - Fertilisers kg/ha" xr:uid="{7A0A4285-7EFB-4734-99C9-2E9EF6C9DCC7}"/>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E2E04-D929-4F47-BF52-209517CA73EC}">
  <sheetPr codeName="Sheet10"/>
  <dimension ref="A1:P33"/>
  <sheetViews>
    <sheetView workbookViewId="0"/>
  </sheetViews>
  <sheetFormatPr defaultColWidth="0" defaultRowHeight="15" zeroHeight="1"/>
  <cols>
    <col min="1" max="1" width="8.7109375" customWidth="1"/>
    <col min="2" max="2" width="21.5703125" bestFit="1" customWidth="1"/>
    <col min="3" max="3" width="16.42578125" bestFit="1" customWidth="1"/>
    <col min="4" max="4" width="10.42578125" hidden="1" customWidth="1"/>
    <col min="5" max="5" width="14.7109375" bestFit="1" customWidth="1"/>
    <col min="6" max="6" width="8.7109375" customWidth="1"/>
    <col min="7" max="7" width="16.7109375" bestFit="1" customWidth="1"/>
    <col min="8" max="8" width="16.42578125" bestFit="1" customWidth="1"/>
    <col min="9" max="9" width="10.42578125" hidden="1" customWidth="1"/>
    <col min="10" max="10" width="14.7109375" bestFit="1" customWidth="1"/>
    <col min="11" max="12" width="8.7109375" customWidth="1"/>
    <col min="13" max="13" width="65" bestFit="1" customWidth="1"/>
    <col min="14" max="14" width="13.5703125" bestFit="1" customWidth="1"/>
    <col min="15" max="15" width="8.7109375" customWidth="1"/>
    <col min="16" max="16" width="8.140625" customWidth="1"/>
    <col min="17" max="16384" width="8.7109375" hidden="1"/>
  </cols>
  <sheetData>
    <row r="1" spans="2:15" ht="21">
      <c r="B1" s="2" t="s">
        <v>380</v>
      </c>
    </row>
    <row r="2" spans="2:15" ht="52.5" customHeight="1">
      <c r="B2" s="140" t="s">
        <v>381</v>
      </c>
      <c r="C2" s="140"/>
      <c r="D2" s="140"/>
      <c r="E2" s="140"/>
      <c r="F2" s="140"/>
      <c r="G2" s="140"/>
      <c r="H2" s="140"/>
      <c r="I2" s="140"/>
      <c r="J2" s="140"/>
    </row>
    <row r="3" spans="2:15" ht="15.75">
      <c r="B3" s="40" t="s">
        <v>382</v>
      </c>
      <c r="G3" s="40" t="s">
        <v>162</v>
      </c>
      <c r="M3" s="61" t="s">
        <v>331</v>
      </c>
      <c r="N3" s="38"/>
      <c r="O3" s="38"/>
    </row>
    <row r="4" spans="2:15" ht="45">
      <c r="B4" t="s">
        <v>149</v>
      </c>
      <c r="C4" t="s">
        <v>383</v>
      </c>
      <c r="D4" t="s">
        <v>384</v>
      </c>
      <c r="E4" s="108" t="s">
        <v>385</v>
      </c>
      <c r="G4" t="s">
        <v>149</v>
      </c>
      <c r="H4" t="s">
        <v>383</v>
      </c>
      <c r="I4" t="s">
        <v>384</v>
      </c>
      <c r="J4" s="108" t="s">
        <v>385</v>
      </c>
      <c r="M4" s="38" t="s">
        <v>386</v>
      </c>
      <c r="N4" s="37">
        <f>SUM(I5:I16)</f>
        <v>0</v>
      </c>
      <c r="O4" s="38" t="s">
        <v>387</v>
      </c>
    </row>
    <row r="5" spans="2:15">
      <c r="B5" s="5" t="s">
        <v>388</v>
      </c>
      <c r="C5" s="71"/>
      <c r="D5" s="72">
        <f>IFERROR(C5*(VLOOKUP(B5,Diet!$Z$16:$AA$26,2,FALSE)/100),C5*0.9)</f>
        <v>0</v>
      </c>
      <c r="E5" s="71"/>
      <c r="G5" s="71"/>
      <c r="H5" s="71"/>
      <c r="I5" s="72" t="str">
        <f>IFERROR(H5*(VLOOKUP(G5,Diet!$Z$46:$AA$60,2,FALSE)/100),"")</f>
        <v/>
      </c>
      <c r="J5" s="73"/>
      <c r="M5" s="38"/>
      <c r="N5" s="37"/>
      <c r="O5" s="38"/>
    </row>
    <row r="6" spans="2:15">
      <c r="B6" s="5" t="s">
        <v>389</v>
      </c>
      <c r="C6" s="71"/>
      <c r="D6" s="72">
        <f>IFERROR(C6*(VLOOKUP(B6,Diet!$Z$16:$AA$26,2,FALSE)/100),C6*0.9)</f>
        <v>0</v>
      </c>
      <c r="E6" s="71"/>
      <c r="G6" s="71"/>
      <c r="H6" s="71"/>
      <c r="I6" s="72" t="str">
        <f>IFERROR(H6*(VLOOKUP(G6,Diet!$Z$46:$AA$60,2,FALSE)/100),"")</f>
        <v/>
      </c>
      <c r="J6" s="73"/>
      <c r="M6" s="38" t="s">
        <v>390</v>
      </c>
      <c r="N6" s="37" t="str">
        <f>IFERROR(SUMPRODUCT(I5:I16,J5:J16)/SUM(I5:I16),"")</f>
        <v/>
      </c>
      <c r="O6" s="38" t="s">
        <v>391</v>
      </c>
    </row>
    <row r="7" spans="2:15">
      <c r="B7" s="5" t="s">
        <v>392</v>
      </c>
      <c r="C7" s="71"/>
      <c r="D7" s="72">
        <f>IFERROR(C7*(VLOOKUP(B7,Diet!$Z$16:$AA$26,2,FALSE)/100),C7*0.9)</f>
        <v>0</v>
      </c>
      <c r="E7" s="71"/>
      <c r="G7" s="71"/>
      <c r="H7" s="71"/>
      <c r="I7" s="72" t="str">
        <f>IFERROR(H7*(VLOOKUP(G7,Diet!$Z$46:$AA$60,2,FALSE)/100),"")</f>
        <v/>
      </c>
      <c r="J7" s="73"/>
      <c r="M7" s="38"/>
      <c r="N7" s="37"/>
      <c r="O7" s="38"/>
    </row>
    <row r="8" spans="2:15">
      <c r="B8" s="71"/>
      <c r="C8" s="71"/>
      <c r="D8" s="72">
        <f>IFERROR(C8*(VLOOKUP(B8,Diet!$Z$16:$AA$26,2,FALSE)/100),C8*0.9)</f>
        <v>0</v>
      </c>
      <c r="E8" s="71"/>
      <c r="G8" s="71"/>
      <c r="H8" s="71"/>
      <c r="I8" s="72" t="str">
        <f>IFERROR(H8*(VLOOKUP(G8,Diet!$Z$46:$AA$60,2,FALSE)/100),"")</f>
        <v/>
      </c>
      <c r="J8" s="73"/>
      <c r="M8" s="38" t="s">
        <v>393</v>
      </c>
      <c r="N8" s="37">
        <f>SUM(D5:D16)</f>
        <v>0</v>
      </c>
      <c r="O8" s="38" t="s">
        <v>387</v>
      </c>
    </row>
    <row r="9" spans="2:15">
      <c r="B9" s="71"/>
      <c r="C9" s="71"/>
      <c r="D9" s="72">
        <f>IFERROR(C9*(VLOOKUP(B9,Diet!$Z$16:$AA$26,2,FALSE)/100),C9*0.9)</f>
        <v>0</v>
      </c>
      <c r="E9" s="71"/>
      <c r="G9" s="71"/>
      <c r="H9" s="71"/>
      <c r="I9" s="72" t="str">
        <f>IFERROR(H9*(VLOOKUP(G9,Diet!$Z$46:$AA$60,2,FALSE)/100),"")</f>
        <v/>
      </c>
      <c r="J9" s="73"/>
      <c r="M9" s="38"/>
      <c r="N9" s="37"/>
      <c r="O9" s="38"/>
    </row>
    <row r="10" spans="2:15">
      <c r="B10" s="71"/>
      <c r="C10" s="71"/>
      <c r="D10" s="72">
        <f>IFERROR(C10*(VLOOKUP(B10,Diet!$Z$16:$AA$26,2,FALSE)/100),C10*0.9)</f>
        <v>0</v>
      </c>
      <c r="E10" s="71"/>
      <c r="G10" s="71"/>
      <c r="H10" s="71"/>
      <c r="I10" s="72" t="str">
        <f>IFERROR(H10*(VLOOKUP(G10,Diet!$Z$46:$AA$60,2,FALSE)/100),"")</f>
        <v/>
      </c>
      <c r="J10" s="73"/>
      <c r="M10" s="38" t="s">
        <v>394</v>
      </c>
      <c r="N10" s="37" t="str">
        <f>IFERROR(SUMPRODUCT(D5:D16,E5:E16)/SUM(D5:D16),"")</f>
        <v/>
      </c>
      <c r="O10" s="38" t="s">
        <v>391</v>
      </c>
    </row>
    <row r="11" spans="2:15">
      <c r="B11" s="71"/>
      <c r="C11" s="71"/>
      <c r="D11" s="72">
        <f>IFERROR(C11*(VLOOKUP(B11,Diet!$Z$16:$AA$26,2,FALSE)/100),C11*0.9)</f>
        <v>0</v>
      </c>
      <c r="E11" s="71"/>
      <c r="G11" s="71"/>
      <c r="H11" s="71"/>
      <c r="I11" s="72" t="str">
        <f>IFERROR(H11*(VLOOKUP(G11,Diet!$Z$46:$AA$60,2,FALSE)/100),"")</f>
        <v/>
      </c>
      <c r="J11" s="73"/>
      <c r="M11" s="38"/>
      <c r="N11" s="37"/>
      <c r="O11" s="38"/>
    </row>
    <row r="12" spans="2:15">
      <c r="B12" s="71"/>
      <c r="C12" s="71"/>
      <c r="D12" s="72">
        <f>IFERROR(C12*(VLOOKUP(B12,Diet!$Z$16:$AA$26,2,FALSE)/100),C12*0.9)</f>
        <v>0</v>
      </c>
      <c r="E12" s="71"/>
      <c r="G12" s="71"/>
      <c r="H12" s="71"/>
      <c r="I12" s="72" t="str">
        <f>IFERROR(H12*(VLOOKUP(G12,Diet!$Z$46:$AA$60,2,FALSE)/100),"")</f>
        <v/>
      </c>
      <c r="J12" s="73"/>
      <c r="M12" s="38" t="s">
        <v>395</v>
      </c>
      <c r="N12" s="37">
        <f>SUM(D21:D32)</f>
        <v>0</v>
      </c>
      <c r="O12" s="38" t="s">
        <v>387</v>
      </c>
    </row>
    <row r="13" spans="2:15">
      <c r="B13" s="71"/>
      <c r="C13" s="71"/>
      <c r="D13" s="72">
        <f>IFERROR(C13*(VLOOKUP(B13,Diet!$Z$16:$AA$26,2,FALSE)/100),C13*0.9)</f>
        <v>0</v>
      </c>
      <c r="E13" s="71"/>
      <c r="G13" s="71"/>
      <c r="H13" s="71"/>
      <c r="I13" s="72" t="str">
        <f>IFERROR(H13*(VLOOKUP(G13,Diet!$Z$46:$AA$60,2,FALSE)/100),"")</f>
        <v/>
      </c>
      <c r="J13" s="73"/>
      <c r="M13" s="38"/>
      <c r="N13" s="37"/>
      <c r="O13" s="38"/>
    </row>
    <row r="14" spans="2:15">
      <c r="B14" s="71"/>
      <c r="C14" s="71"/>
      <c r="D14" s="72">
        <f>IFERROR(C14*(VLOOKUP(B14,Diet!$Z$16:$AA$26,2,FALSE)/100),C14*0.9)</f>
        <v>0</v>
      </c>
      <c r="E14" s="71"/>
      <c r="G14" s="5" t="s">
        <v>396</v>
      </c>
      <c r="H14" s="71"/>
      <c r="I14">
        <f>H14*0.88</f>
        <v>0</v>
      </c>
      <c r="J14" s="73"/>
      <c r="M14" s="38" t="s">
        <v>397</v>
      </c>
      <c r="N14" s="37" t="str">
        <f>IFERROR(SUMPRODUCT(D21:D32,E21:E32)/SUM(D21:D32),"")</f>
        <v/>
      </c>
      <c r="O14" s="38" t="s">
        <v>391</v>
      </c>
    </row>
    <row r="15" spans="2:15">
      <c r="B15" s="71"/>
      <c r="C15" s="71"/>
      <c r="D15" s="72">
        <f>IFERROR(C15*(VLOOKUP(B15,Diet!$Z$16:$AA$26,2,FALSE)/100),C15*0.9)</f>
        <v>0</v>
      </c>
      <c r="E15" s="71"/>
      <c r="G15" s="5" t="s">
        <v>398</v>
      </c>
      <c r="H15" s="71"/>
      <c r="I15">
        <f t="shared" ref="I15:I16" si="0">H15*0.88</f>
        <v>0</v>
      </c>
      <c r="J15" s="73"/>
      <c r="M15" s="38"/>
      <c r="N15" s="37"/>
      <c r="O15" s="38"/>
    </row>
    <row r="16" spans="2:15">
      <c r="B16" s="5" t="s">
        <v>399</v>
      </c>
      <c r="C16" s="71"/>
      <c r="D16" s="72">
        <f>IFERROR(C16*(VLOOKUP(B16,Diet!$Z$16:$AA$26,2,FALSE)/100),C16*0.9)</f>
        <v>0</v>
      </c>
      <c r="E16" s="71"/>
      <c r="G16" s="5" t="s">
        <v>400</v>
      </c>
      <c r="H16" s="71"/>
      <c r="I16">
        <f t="shared" si="0"/>
        <v>0</v>
      </c>
      <c r="J16" s="73"/>
      <c r="M16" s="38" t="s">
        <v>401</v>
      </c>
      <c r="N16" s="37">
        <f>SUM(I21:I32)</f>
        <v>0</v>
      </c>
      <c r="O16" s="38" t="s">
        <v>387</v>
      </c>
    </row>
    <row r="17" spans="2:15">
      <c r="M17" s="38"/>
      <c r="N17" s="37"/>
      <c r="O17" s="38"/>
    </row>
    <row r="18" spans="2:15">
      <c r="M18" s="38" t="s">
        <v>402</v>
      </c>
      <c r="N18" s="37" t="str">
        <f>IFERROR(SUMPRODUCT(I21:I32,J21:J32)/SUM(I21:I32),"")</f>
        <v/>
      </c>
      <c r="O18" s="38" t="s">
        <v>391</v>
      </c>
    </row>
    <row r="19" spans="2:15" ht="15.75">
      <c r="B19" s="40" t="s">
        <v>159</v>
      </c>
      <c r="G19" s="40" t="s">
        <v>166</v>
      </c>
      <c r="M19" s="38"/>
      <c r="N19" s="38"/>
      <c r="O19" s="38"/>
    </row>
    <row r="20" spans="2:15" ht="45">
      <c r="B20" t="s">
        <v>149</v>
      </c>
      <c r="C20" t="s">
        <v>383</v>
      </c>
      <c r="D20" t="s">
        <v>384</v>
      </c>
      <c r="E20" s="108" t="s">
        <v>385</v>
      </c>
      <c r="G20" t="s">
        <v>149</v>
      </c>
      <c r="H20" t="s">
        <v>383</v>
      </c>
      <c r="I20" t="s">
        <v>384</v>
      </c>
      <c r="J20" s="108" t="s">
        <v>385</v>
      </c>
    </row>
    <row r="21" spans="2:15">
      <c r="B21" s="71"/>
      <c r="C21" s="71"/>
      <c r="D21" s="72" t="str">
        <f>IFERROR(C21*(VLOOKUP(B21,Diet!$Z$31:$AA$42,2,FALSE)/100),"")</f>
        <v/>
      </c>
      <c r="E21" s="71"/>
      <c r="G21" s="71"/>
      <c r="H21" s="71"/>
      <c r="I21" s="72" t="str">
        <f>IFERROR(H21*(VLOOKUP(G21,Diet!$Z$63:$AA$76,2,FALSE)/100),"")</f>
        <v/>
      </c>
      <c r="J21" s="71"/>
    </row>
    <row r="22" spans="2:15">
      <c r="B22" s="71"/>
      <c r="C22" s="71"/>
      <c r="D22" s="72" t="str">
        <f>IFERROR(C22*(VLOOKUP(B22,Diet!$Z$31:$AA$42,2,FALSE)/100),"")</f>
        <v/>
      </c>
      <c r="E22" s="71"/>
      <c r="G22" s="71"/>
      <c r="H22" s="71"/>
      <c r="I22" s="72" t="str">
        <f>IFERROR(H22*(VLOOKUP(G22,Diet!$Z$63:$AA$76,2,FALSE)/100),"")</f>
        <v/>
      </c>
      <c r="J22" s="71"/>
    </row>
    <row r="23" spans="2:15">
      <c r="B23" s="71"/>
      <c r="C23" s="71"/>
      <c r="D23" s="72" t="str">
        <f>IFERROR(C23*(VLOOKUP(B23,Diet!$Z$31:$AA$42,2,FALSE)/100),"")</f>
        <v/>
      </c>
      <c r="E23" s="71"/>
      <c r="G23" s="71"/>
      <c r="H23" s="71"/>
      <c r="I23" s="72" t="str">
        <f>IFERROR(H23*(VLOOKUP(G23,Diet!$Z$63:$AA$76,2,FALSE)/100),"")</f>
        <v/>
      </c>
      <c r="J23" s="71"/>
    </row>
    <row r="24" spans="2:15">
      <c r="B24" s="71"/>
      <c r="C24" s="71"/>
      <c r="D24" s="72" t="str">
        <f>IFERROR(C24*(VLOOKUP(B24,Diet!$Z$31:$AA$42,2,FALSE)/100),"")</f>
        <v/>
      </c>
      <c r="E24" s="71"/>
      <c r="G24" s="71"/>
      <c r="H24" s="71"/>
      <c r="I24" s="72" t="str">
        <f>IFERROR(H24*(VLOOKUP(G24,Diet!$Z$63:$AA$76,2,FALSE)/100),"")</f>
        <v/>
      </c>
      <c r="J24" s="71"/>
      <c r="M24" s="80" t="s">
        <v>52</v>
      </c>
      <c r="N24" s="80" t="s">
        <v>109</v>
      </c>
      <c r="O24" s="80" t="s">
        <v>53</v>
      </c>
    </row>
    <row r="25" spans="2:15">
      <c r="B25" s="71"/>
      <c r="C25" s="71"/>
      <c r="D25" s="72" t="str">
        <f>IFERROR(C25*(VLOOKUP(B25,Diet!$Z$31:$AA$42,2,FALSE)/100),"")</f>
        <v/>
      </c>
      <c r="E25" s="71"/>
      <c r="G25" s="71"/>
      <c r="H25" s="71"/>
      <c r="I25" s="72" t="str">
        <f>IFERROR(H25*(VLOOKUP(G25,Diet!$Z$63:$AA$76,2,FALSE)/100),"")</f>
        <v/>
      </c>
      <c r="J25" s="71"/>
    </row>
    <row r="26" spans="2:15">
      <c r="B26" s="71"/>
      <c r="C26" s="71"/>
      <c r="D26" s="72" t="str">
        <f>IFERROR(C26*(VLOOKUP(B26,Diet!$Z$31:$AA$42,2,FALSE)/100),"")</f>
        <v/>
      </c>
      <c r="E26" s="71"/>
      <c r="G26" s="71"/>
      <c r="H26" s="71"/>
      <c r="I26" s="72" t="str">
        <f>IFERROR(H26*(VLOOKUP(G26,Diet!$Z$63:$AA$76,2,FALSE)/100),"")</f>
        <v/>
      </c>
      <c r="J26" s="71"/>
    </row>
    <row r="27" spans="2:15">
      <c r="B27" s="71"/>
      <c r="C27" s="71"/>
      <c r="D27" s="72" t="str">
        <f>IFERROR(C27*(VLOOKUP(B27,Diet!$Z$31:$AA$42,2,FALSE)/100),"")</f>
        <v/>
      </c>
      <c r="E27" s="71"/>
      <c r="G27" s="71"/>
      <c r="H27" s="71"/>
      <c r="I27" s="72" t="str">
        <f>IFERROR(H27*(VLOOKUP(G27,Diet!$Z$63:$AA$76,2,FALSE)/100),"")</f>
        <v/>
      </c>
      <c r="J27" s="71"/>
    </row>
    <row r="28" spans="2:15">
      <c r="B28" s="71"/>
      <c r="C28" s="71"/>
      <c r="D28" s="72" t="str">
        <f>IFERROR(C28*(VLOOKUP(B28,Diet!$Z$31:$AA$42,2,FALSE)/100),"")</f>
        <v/>
      </c>
      <c r="E28" s="71"/>
      <c r="G28" s="71"/>
      <c r="H28" s="71"/>
      <c r="I28" s="72" t="str">
        <f>IFERROR(H28*(VLOOKUP(G28,Diet!$Z$63:$AA$76,2,FALSE)/100),"")</f>
        <v/>
      </c>
      <c r="J28" s="71"/>
    </row>
    <row r="29" spans="2:15">
      <c r="B29" s="71"/>
      <c r="C29" s="71"/>
      <c r="D29" s="72" t="str">
        <f>IFERROR(C29*(VLOOKUP(B29,Diet!$Z$31:$AA$42,2,FALSE)/100),"")</f>
        <v/>
      </c>
      <c r="E29" s="71"/>
      <c r="G29" s="71"/>
      <c r="H29" s="71"/>
      <c r="I29" s="72" t="str">
        <f>IFERROR(H29*(VLOOKUP(G29,Diet!$Z$63:$AA$76,2,FALSE)/100),"")</f>
        <v/>
      </c>
      <c r="J29" s="71"/>
    </row>
    <row r="30" spans="2:15">
      <c r="B30" s="5" t="s">
        <v>403</v>
      </c>
      <c r="C30" s="71"/>
      <c r="D30" s="72">
        <f>C30*0.4</f>
        <v>0</v>
      </c>
      <c r="E30" s="71"/>
      <c r="G30" s="71"/>
      <c r="H30" s="71"/>
      <c r="I30" s="72" t="str">
        <f>IFERROR(H30*(VLOOKUP(G30,Diet!$Z$63:$AA$76,2,FALSE)/100),"")</f>
        <v/>
      </c>
      <c r="J30" s="71"/>
    </row>
    <row r="31" spans="2:15">
      <c r="B31" s="5" t="s">
        <v>404</v>
      </c>
      <c r="C31" s="71"/>
      <c r="D31" s="72">
        <f t="shared" ref="D31:D32" si="1">C31*0.4</f>
        <v>0</v>
      </c>
      <c r="E31" s="71"/>
      <c r="G31" s="71"/>
      <c r="H31" s="71"/>
      <c r="I31" s="72" t="str">
        <f>IFERROR(H31*(VLOOKUP(G31,Diet!$Z$63:$AA$76,2,FALSE)/100),"")</f>
        <v/>
      </c>
      <c r="J31" s="71"/>
    </row>
    <row r="32" spans="2:15">
      <c r="B32" s="5" t="s">
        <v>405</v>
      </c>
      <c r="C32" s="71"/>
      <c r="D32" s="72">
        <f t="shared" si="1"/>
        <v>0</v>
      </c>
      <c r="E32" s="71"/>
      <c r="G32" s="5" t="s">
        <v>406</v>
      </c>
      <c r="H32" s="71"/>
      <c r="I32">
        <f>H32*0.9</f>
        <v>0</v>
      </c>
      <c r="J32" s="71"/>
    </row>
    <row r="33"/>
  </sheetData>
  <sheetProtection algorithmName="SHA-512" hashValue="QnsX3xV3/sFHD5YMhAqoVZyHHTsvQ5v2etftjlyJs3uAAPzHfNXJJEiT4UpAiZ45i58NVbS/GxuvfWZXaai+FA==" saltValue="HcvpJhVKYTXEB1OUdbBKgQ==" spinCount="100000" sheet="1" objects="1" scenarios="1"/>
  <mergeCells count="1">
    <mergeCell ref="B2:J2"/>
  </mergeCells>
  <dataValidations count="4">
    <dataValidation type="list" allowBlank="1" showInputMessage="1" showErrorMessage="1" sqref="G21:G31" xr:uid="{A0382657-902C-43CD-8A23-584048B72C03}">
      <formula1>By.Products</formula1>
    </dataValidation>
    <dataValidation type="list" allowBlank="1" showInputMessage="1" showErrorMessage="1" sqref="G5:G13" xr:uid="{85BE6858-2F91-4144-B5EE-E006F8F83E25}">
      <formula1>Hays</formula1>
    </dataValidation>
    <dataValidation type="list" allowBlank="1" showInputMessage="1" showErrorMessage="1" sqref="B8:B15" xr:uid="{699AE5DD-7307-415E-A58C-2A2DF9A8FF39}">
      <formula1>GrainConc</formula1>
    </dataValidation>
    <dataValidation type="list" allowBlank="1" showInputMessage="1" showErrorMessage="1" sqref="B21:B29" xr:uid="{24177F49-0393-4DD2-8152-A21EA2D62407}">
      <formula1>Silages</formula1>
    </dataValidation>
  </dataValidations>
  <hyperlinks>
    <hyperlink ref="M24" location="Index!A1" display="Back to index" xr:uid="{A0378A53-BC16-47E5-A7B6-961099C65CE6}"/>
    <hyperlink ref="O24" location="Trees!A1" display="Next sheet" xr:uid="{A61808FA-314C-4130-A175-916712E93B21}"/>
    <hyperlink ref="N24" location="'Energy consumption'!A1" display="Previous sheet" xr:uid="{0365870B-399B-442A-AF87-98E56B392E4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6075E-BDB7-41B2-941E-58A1BEE451A4}">
  <dimension ref="A1:K33"/>
  <sheetViews>
    <sheetView zoomScaleNormal="100" workbookViewId="0"/>
  </sheetViews>
  <sheetFormatPr defaultColWidth="0" defaultRowHeight="15" zeroHeight="1"/>
  <cols>
    <col min="1" max="1" width="8.7109375" customWidth="1"/>
    <col min="2" max="2" width="72.140625" customWidth="1"/>
    <col min="3" max="3" width="12.140625" bestFit="1" customWidth="1"/>
    <col min="4" max="8" width="8.7109375" customWidth="1"/>
    <col min="9" max="16384" width="8.7109375" hidden="1"/>
  </cols>
  <sheetData>
    <row r="1" spans="2:11" ht="21">
      <c r="B1" s="2" t="s">
        <v>407</v>
      </c>
    </row>
    <row r="2" spans="2:11" ht="208.5" customHeight="1">
      <c r="B2" s="141" t="s">
        <v>408</v>
      </c>
      <c r="C2" s="141"/>
      <c r="D2" s="141"/>
    </row>
    <row r="3" spans="2:11">
      <c r="B3" s="108"/>
      <c r="C3" t="s">
        <v>409</v>
      </c>
      <c r="D3" t="s">
        <v>336</v>
      </c>
    </row>
    <row r="4" spans="2:11" ht="30">
      <c r="B4" s="108" t="s">
        <v>410</v>
      </c>
      <c r="C4" s="71"/>
      <c r="D4" s="71"/>
      <c r="K4" t="s">
        <v>118</v>
      </c>
    </row>
    <row r="5" spans="2:11">
      <c r="B5" s="108"/>
      <c r="K5" t="s">
        <v>120</v>
      </c>
    </row>
    <row r="6" spans="2:11" ht="30">
      <c r="B6" s="108" t="s">
        <v>411</v>
      </c>
      <c r="C6" s="71"/>
      <c r="D6" t="s">
        <v>391</v>
      </c>
      <c r="K6" t="s">
        <v>412</v>
      </c>
    </row>
    <row r="7" spans="2:11" ht="30">
      <c r="B7" s="108" t="s">
        <v>413</v>
      </c>
      <c r="C7" s="71"/>
      <c r="D7" t="s">
        <v>391</v>
      </c>
      <c r="K7" t="s">
        <v>414</v>
      </c>
    </row>
    <row r="8" spans="2:11">
      <c r="B8" s="108" t="s">
        <v>415</v>
      </c>
      <c r="C8">
        <f>100-SUM(C6:C7)</f>
        <v>100</v>
      </c>
      <c r="D8" t="s">
        <v>391</v>
      </c>
      <c r="K8" t="s">
        <v>416</v>
      </c>
    </row>
    <row r="9" spans="2:11">
      <c r="B9" s="108"/>
      <c r="K9" t="s">
        <v>417</v>
      </c>
    </row>
    <row r="10" spans="2:11" ht="45">
      <c r="B10" s="108" t="s">
        <v>418</v>
      </c>
      <c r="C10" s="71"/>
    </row>
    <row r="11" spans="2:11" ht="30">
      <c r="B11" s="108" t="s">
        <v>419</v>
      </c>
      <c r="C11" s="71"/>
      <c r="D11" t="s">
        <v>391</v>
      </c>
    </row>
    <row r="12" spans="2:11">
      <c r="B12" s="108"/>
    </row>
    <row r="13" spans="2:11">
      <c r="B13" s="108"/>
    </row>
    <row r="14" spans="2:11" ht="30">
      <c r="B14" s="108" t="s">
        <v>420</v>
      </c>
      <c r="C14" s="71"/>
      <c r="D14" t="s">
        <v>409</v>
      </c>
    </row>
    <row r="15" spans="2:11">
      <c r="B15" s="108"/>
      <c r="C15" s="71"/>
      <c r="D15" t="s">
        <v>421</v>
      </c>
    </row>
    <row r="16" spans="2:11" ht="30">
      <c r="B16" s="108" t="s">
        <v>422</v>
      </c>
      <c r="C16" s="71"/>
    </row>
    <row r="17" spans="2:7">
      <c r="B17" s="108"/>
    </row>
    <row r="18" spans="2:7">
      <c r="B18" s="108" t="s">
        <v>423</v>
      </c>
    </row>
    <row r="19" spans="2:7"/>
    <row r="20" spans="2:7" ht="45">
      <c r="B20" t="s">
        <v>424</v>
      </c>
      <c r="C20" s="74" t="s">
        <v>425</v>
      </c>
      <c r="D20" s="74" t="s">
        <v>426</v>
      </c>
      <c r="E20" s="74" t="s">
        <v>85</v>
      </c>
      <c r="F20" s="74" t="s">
        <v>427</v>
      </c>
      <c r="G20" s="75" t="s">
        <v>428</v>
      </c>
    </row>
    <row r="21" spans="2:7">
      <c r="C21" s="71"/>
      <c r="D21" s="71"/>
      <c r="E21" s="71"/>
      <c r="F21" s="71"/>
      <c r="G21" s="71"/>
    </row>
    <row r="22" spans="2:7">
      <c r="B22" t="s">
        <v>429</v>
      </c>
      <c r="C22" s="71"/>
      <c r="D22" s="71"/>
      <c r="E22" s="71"/>
      <c r="F22" s="71"/>
      <c r="G22" s="71"/>
    </row>
    <row r="23" spans="2:7">
      <c r="B23" t="s">
        <v>430</v>
      </c>
      <c r="C23" s="71"/>
      <c r="D23" s="71"/>
      <c r="E23" s="71"/>
      <c r="F23" s="71"/>
      <c r="G23" s="71"/>
    </row>
    <row r="24" spans="2:7"/>
    <row r="25" spans="2:7" ht="30">
      <c r="B25" s="108" t="s">
        <v>431</v>
      </c>
      <c r="C25" s="71"/>
      <c r="D25" s="71"/>
      <c r="E25" s="71"/>
      <c r="F25" s="71"/>
      <c r="G25" s="71"/>
    </row>
    <row r="26" spans="2:7"/>
    <row r="27" spans="2:7">
      <c r="C27" s="80" t="s">
        <v>52</v>
      </c>
      <c r="D27" s="80" t="s">
        <v>109</v>
      </c>
    </row>
    <row r="28" spans="2:7"/>
    <row r="33" customFormat="1" hidden="1"/>
  </sheetData>
  <sheetProtection algorithmName="SHA-512" hashValue="EaBPYyBfrgVDjbNU6GtodoHipvRHZr5gU+nA3Uc6odt0p/q8ZocBYHPeSIzF1NfPUNV/WnsbfgqFshUpR7Oxkw==" saltValue="yuzPJKeZbKlTtR8xfEng0w==" spinCount="100000" sheet="1" objects="1" scenarios="1"/>
  <mergeCells count="1">
    <mergeCell ref="B2:D2"/>
  </mergeCells>
  <dataValidations count="3">
    <dataValidation type="whole" allowBlank="1" showInputMessage="1" showErrorMessage="1" errorTitle="Solids Separation" error="A highly effective solids separation system will remove 50% of all suspended solids. Enter a value between 0-50%" sqref="C11" xr:uid="{D7FCBD67-1BB5-4B2F-96AE-830CB537D056}">
      <formula1>0</formula1>
      <formula2>50</formula2>
    </dataValidation>
    <dataValidation type="list" allowBlank="1" showInputMessage="1" showErrorMessage="1" sqref="C16 C25:G25" xr:uid="{F91B2086-C1D7-4989-AA44-5FEA755128AC}">
      <formula1>Effluent.Management</formula1>
    </dataValidation>
    <dataValidation type="list" allowBlank="1" showInputMessage="1" showErrorMessage="1" sqref="C10 C21:G21" xr:uid="{1281B646-2C24-4CE9-A670-4ED1D56AEB94}">
      <formula1>Yes.No</formula1>
    </dataValidation>
  </dataValidations>
  <hyperlinks>
    <hyperlink ref="C27" location="Index!A1" display="Back to index" xr:uid="{ADFA95ED-5A95-4C5D-9077-147935A8E52A}"/>
    <hyperlink ref="D27" location="Trees!A1" display="Previous sheet" xr:uid="{51197D1D-6C65-43A3-89C3-A4FBC02094C8}"/>
  </hyperlink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F9936-8DC7-415D-BE31-E3994AB8BFB6}">
  <sheetPr codeName="Sheet11"/>
  <dimension ref="A1:AC25"/>
  <sheetViews>
    <sheetView workbookViewId="0">
      <selection activeCell="E6" sqref="E6:E15 X4"/>
    </sheetView>
  </sheetViews>
  <sheetFormatPr defaultColWidth="0" defaultRowHeight="15" zeroHeight="1"/>
  <cols>
    <col min="1" max="1" width="8.7109375" customWidth="1"/>
    <col min="2" max="2" width="23.85546875" bestFit="1" customWidth="1"/>
    <col min="3" max="3" width="13.5703125" bestFit="1" customWidth="1"/>
    <col min="4" max="4" width="11.140625" bestFit="1" customWidth="1"/>
    <col min="5" max="5" width="23.140625" customWidth="1"/>
    <col min="6" max="6" width="8.7109375" customWidth="1"/>
    <col min="7" max="17" width="8.7109375" hidden="1" customWidth="1"/>
    <col min="18" max="18" width="16.140625" hidden="1" customWidth="1"/>
    <col min="19" max="19" width="28.140625" hidden="1" customWidth="1"/>
    <col min="20" max="16384" width="8.7109375" hidden="1"/>
  </cols>
  <sheetData>
    <row r="1" spans="2:29" ht="21">
      <c r="B1" s="2" t="s">
        <v>23</v>
      </c>
      <c r="R1" t="s">
        <v>432</v>
      </c>
      <c r="S1" t="s">
        <v>433</v>
      </c>
    </row>
    <row r="2" spans="2:29" ht="32.1" customHeight="1">
      <c r="B2" s="114" t="s">
        <v>434</v>
      </c>
      <c r="C2" s="114"/>
      <c r="D2" s="114"/>
      <c r="E2" s="114"/>
    </row>
    <row r="3" spans="2:29">
      <c r="B3" t="s">
        <v>435</v>
      </c>
      <c r="C3" s="71"/>
      <c r="R3" t="s">
        <v>436</v>
      </c>
      <c r="S3" t="s">
        <v>437</v>
      </c>
      <c r="T3" t="s">
        <v>438</v>
      </c>
      <c r="U3" t="s">
        <v>439</v>
      </c>
      <c r="V3" t="s">
        <v>440</v>
      </c>
      <c r="X3" t="s">
        <v>441</v>
      </c>
      <c r="Y3" t="s">
        <v>442</v>
      </c>
      <c r="Z3" t="s">
        <v>443</v>
      </c>
      <c r="AA3" t="s">
        <v>444</v>
      </c>
      <c r="AB3" t="s">
        <v>445</v>
      </c>
      <c r="AC3" t="s">
        <v>446</v>
      </c>
    </row>
    <row r="4" spans="2:29">
      <c r="R4" t="s">
        <v>58</v>
      </c>
      <c r="S4" t="s">
        <v>67</v>
      </c>
      <c r="T4">
        <v>1</v>
      </c>
      <c r="U4" t="s">
        <v>447</v>
      </c>
      <c r="X4" t="s">
        <v>448</v>
      </c>
      <c r="Y4" t="s">
        <v>449</v>
      </c>
      <c r="Z4" t="s">
        <v>450</v>
      </c>
      <c r="AA4" t="s">
        <v>451</v>
      </c>
      <c r="AB4" t="s">
        <v>452</v>
      </c>
      <c r="AC4" t="s">
        <v>453</v>
      </c>
    </row>
    <row r="5" spans="2:29">
      <c r="B5" t="s">
        <v>454</v>
      </c>
      <c r="C5" t="s">
        <v>455</v>
      </c>
      <c r="D5" t="s">
        <v>456</v>
      </c>
      <c r="E5" t="s">
        <v>457</v>
      </c>
      <c r="R5" t="s">
        <v>50</v>
      </c>
      <c r="S5" t="s">
        <v>63</v>
      </c>
      <c r="T5">
        <v>10</v>
      </c>
      <c r="U5" t="s">
        <v>458</v>
      </c>
      <c r="X5" t="s">
        <v>448</v>
      </c>
      <c r="Y5" t="s">
        <v>459</v>
      </c>
      <c r="Z5" t="s">
        <v>460</v>
      </c>
      <c r="AA5" t="s">
        <v>461</v>
      </c>
      <c r="AB5" t="s">
        <v>462</v>
      </c>
      <c r="AC5" t="s">
        <v>463</v>
      </c>
    </row>
    <row r="6" spans="2:29">
      <c r="B6" t="s">
        <v>464</v>
      </c>
      <c r="C6" s="71"/>
      <c r="D6" s="71"/>
      <c r="E6" s="71"/>
      <c r="R6" t="s">
        <v>50</v>
      </c>
      <c r="S6" t="s">
        <v>69</v>
      </c>
      <c r="T6">
        <v>11</v>
      </c>
      <c r="U6" t="s">
        <v>465</v>
      </c>
      <c r="X6" t="s">
        <v>448</v>
      </c>
      <c r="Y6" t="s">
        <v>466</v>
      </c>
      <c r="Z6" t="s">
        <v>449</v>
      </c>
      <c r="AA6" t="s">
        <v>467</v>
      </c>
      <c r="AB6" t="s">
        <v>468</v>
      </c>
      <c r="AC6" t="s">
        <v>469</v>
      </c>
    </row>
    <row r="7" spans="2:29">
      <c r="B7" t="s">
        <v>470</v>
      </c>
      <c r="C7" s="71"/>
      <c r="D7" s="71"/>
      <c r="E7" s="71"/>
      <c r="R7" t="s">
        <v>50</v>
      </c>
      <c r="S7" t="s">
        <v>74</v>
      </c>
      <c r="T7">
        <v>15</v>
      </c>
      <c r="U7" t="s">
        <v>465</v>
      </c>
      <c r="X7" t="s">
        <v>448</v>
      </c>
      <c r="Y7" t="s">
        <v>466</v>
      </c>
      <c r="Z7" t="s">
        <v>449</v>
      </c>
      <c r="AA7" t="s">
        <v>467</v>
      </c>
      <c r="AB7" t="s">
        <v>468</v>
      </c>
      <c r="AC7" t="s">
        <v>469</v>
      </c>
    </row>
    <row r="8" spans="2:29">
      <c r="B8" t="s">
        <v>471</v>
      </c>
      <c r="C8" s="71"/>
      <c r="D8" s="71"/>
      <c r="E8" s="71"/>
      <c r="R8" t="s">
        <v>40</v>
      </c>
      <c r="S8" t="s">
        <v>64</v>
      </c>
      <c r="T8">
        <v>17</v>
      </c>
      <c r="U8" t="s">
        <v>472</v>
      </c>
      <c r="X8" t="s">
        <v>448</v>
      </c>
      <c r="Y8" t="s">
        <v>449</v>
      </c>
      <c r="Z8" t="s">
        <v>473</v>
      </c>
      <c r="AA8" t="s">
        <v>468</v>
      </c>
      <c r="AB8" t="s">
        <v>469</v>
      </c>
      <c r="AC8" t="s">
        <v>453</v>
      </c>
    </row>
    <row r="9" spans="2:29">
      <c r="B9" t="s">
        <v>474</v>
      </c>
      <c r="C9" s="71"/>
      <c r="D9" s="71"/>
      <c r="E9" s="71"/>
      <c r="R9" t="s">
        <v>40</v>
      </c>
      <c r="S9" t="s">
        <v>70</v>
      </c>
      <c r="T9">
        <v>19</v>
      </c>
      <c r="U9" t="s">
        <v>472</v>
      </c>
      <c r="X9" t="s">
        <v>448</v>
      </c>
      <c r="Y9" t="s">
        <v>449</v>
      </c>
      <c r="Z9" t="s">
        <v>473</v>
      </c>
      <c r="AA9" t="s">
        <v>468</v>
      </c>
      <c r="AB9" t="s">
        <v>469</v>
      </c>
      <c r="AC9" t="s">
        <v>453</v>
      </c>
    </row>
    <row r="10" spans="2:29">
      <c r="B10" t="s">
        <v>475</v>
      </c>
      <c r="C10" s="71"/>
      <c r="D10" s="71"/>
      <c r="E10" s="71"/>
      <c r="R10" t="s">
        <v>40</v>
      </c>
      <c r="S10" t="s">
        <v>476</v>
      </c>
      <c r="T10">
        <v>20</v>
      </c>
      <c r="U10" t="s">
        <v>472</v>
      </c>
      <c r="X10" t="s">
        <v>448</v>
      </c>
      <c r="Y10" t="s">
        <v>449</v>
      </c>
      <c r="Z10" t="s">
        <v>473</v>
      </c>
      <c r="AA10" t="s">
        <v>468</v>
      </c>
      <c r="AB10" t="s">
        <v>469</v>
      </c>
      <c r="AC10" t="s">
        <v>453</v>
      </c>
    </row>
    <row r="11" spans="2:29">
      <c r="B11" t="s">
        <v>477</v>
      </c>
      <c r="C11" s="71"/>
      <c r="D11" s="71"/>
      <c r="E11" s="71"/>
      <c r="R11" t="s">
        <v>40</v>
      </c>
      <c r="S11" t="s">
        <v>77</v>
      </c>
      <c r="T11">
        <v>22</v>
      </c>
      <c r="U11" t="s">
        <v>472</v>
      </c>
      <c r="X11" t="s">
        <v>448</v>
      </c>
      <c r="Y11" t="s">
        <v>449</v>
      </c>
      <c r="Z11" t="s">
        <v>473</v>
      </c>
      <c r="AA11" t="s">
        <v>468</v>
      </c>
      <c r="AB11" t="s">
        <v>469</v>
      </c>
      <c r="AC11" t="s">
        <v>453</v>
      </c>
    </row>
    <row r="12" spans="2:29">
      <c r="B12" t="s">
        <v>478</v>
      </c>
      <c r="C12" s="71"/>
      <c r="D12" s="71"/>
      <c r="E12" s="71"/>
      <c r="R12" t="s">
        <v>57</v>
      </c>
      <c r="S12" t="s">
        <v>66</v>
      </c>
      <c r="T12">
        <v>23</v>
      </c>
      <c r="U12" t="s">
        <v>479</v>
      </c>
      <c r="X12" t="s">
        <v>448</v>
      </c>
      <c r="Y12" t="s">
        <v>449</v>
      </c>
      <c r="Z12" t="s">
        <v>452</v>
      </c>
      <c r="AA12" t="s">
        <v>453</v>
      </c>
      <c r="AB12" t="s">
        <v>453</v>
      </c>
      <c r="AC12" t="s">
        <v>453</v>
      </c>
    </row>
    <row r="13" spans="2:29">
      <c r="B13" t="s">
        <v>480</v>
      </c>
      <c r="C13" s="71"/>
      <c r="D13" s="71"/>
      <c r="E13" s="71"/>
      <c r="R13" t="s">
        <v>57</v>
      </c>
      <c r="S13" t="s">
        <v>72</v>
      </c>
      <c r="T13">
        <v>24</v>
      </c>
      <c r="U13" t="s">
        <v>479</v>
      </c>
      <c r="X13" t="s">
        <v>448</v>
      </c>
      <c r="Y13" t="s">
        <v>449</v>
      </c>
      <c r="Z13" t="s">
        <v>452</v>
      </c>
      <c r="AA13" t="s">
        <v>453</v>
      </c>
      <c r="AB13" t="s">
        <v>453</v>
      </c>
      <c r="AC13" t="s">
        <v>453</v>
      </c>
    </row>
    <row r="14" spans="2:29">
      <c r="B14" t="s">
        <v>481</v>
      </c>
      <c r="C14" s="71"/>
      <c r="D14" s="71"/>
      <c r="E14" s="71"/>
      <c r="R14" t="s">
        <v>35</v>
      </c>
      <c r="S14" t="s">
        <v>62</v>
      </c>
      <c r="T14">
        <v>28</v>
      </c>
      <c r="U14" t="s">
        <v>482</v>
      </c>
      <c r="X14" t="s">
        <v>448</v>
      </c>
      <c r="Y14" t="s">
        <v>466</v>
      </c>
      <c r="Z14" t="s">
        <v>449</v>
      </c>
      <c r="AA14" t="s">
        <v>473</v>
      </c>
      <c r="AB14" t="s">
        <v>483</v>
      </c>
      <c r="AC14" t="s">
        <v>484</v>
      </c>
    </row>
    <row r="15" spans="2:29">
      <c r="B15" t="s">
        <v>485</v>
      </c>
      <c r="C15" s="71"/>
      <c r="D15" s="71"/>
      <c r="E15" s="71"/>
      <c r="R15" t="s">
        <v>35</v>
      </c>
      <c r="S15" t="s">
        <v>68</v>
      </c>
      <c r="T15">
        <v>30</v>
      </c>
      <c r="U15" t="s">
        <v>486</v>
      </c>
      <c r="X15" t="s">
        <v>448</v>
      </c>
      <c r="Y15" t="s">
        <v>466</v>
      </c>
      <c r="Z15" t="s">
        <v>449</v>
      </c>
      <c r="AA15" t="s">
        <v>473</v>
      </c>
      <c r="AB15" t="s">
        <v>452</v>
      </c>
      <c r="AC15" t="s">
        <v>453</v>
      </c>
    </row>
    <row r="16" spans="2:29">
      <c r="R16" t="s">
        <v>35</v>
      </c>
      <c r="S16" t="s">
        <v>73</v>
      </c>
      <c r="T16">
        <v>31</v>
      </c>
      <c r="U16" t="s">
        <v>486</v>
      </c>
      <c r="X16" t="s">
        <v>448</v>
      </c>
      <c r="Y16" t="s">
        <v>466</v>
      </c>
      <c r="Z16" t="s">
        <v>449</v>
      </c>
      <c r="AA16" t="s">
        <v>473</v>
      </c>
      <c r="AB16" t="s">
        <v>452</v>
      </c>
      <c r="AC16" t="s">
        <v>453</v>
      </c>
    </row>
    <row r="17" spans="2:29">
      <c r="R17" t="s">
        <v>35</v>
      </c>
      <c r="S17" t="s">
        <v>76</v>
      </c>
      <c r="T17">
        <v>32</v>
      </c>
      <c r="U17" t="s">
        <v>482</v>
      </c>
      <c r="X17" t="s">
        <v>448</v>
      </c>
      <c r="Y17" t="s">
        <v>449</v>
      </c>
      <c r="Z17" t="s">
        <v>473</v>
      </c>
      <c r="AA17" t="s">
        <v>452</v>
      </c>
      <c r="AB17" t="s">
        <v>453</v>
      </c>
      <c r="AC17" t="s">
        <v>453</v>
      </c>
    </row>
    <row r="18" spans="2:29">
      <c r="R18" t="s">
        <v>35</v>
      </c>
      <c r="S18" t="s">
        <v>78</v>
      </c>
      <c r="T18">
        <v>33</v>
      </c>
      <c r="U18" t="s">
        <v>487</v>
      </c>
      <c r="X18" t="s">
        <v>448</v>
      </c>
      <c r="Y18" t="s">
        <v>449</v>
      </c>
      <c r="Z18" t="s">
        <v>473</v>
      </c>
      <c r="AA18" t="s">
        <v>488</v>
      </c>
      <c r="AB18" t="s">
        <v>452</v>
      </c>
      <c r="AC18" t="s">
        <v>453</v>
      </c>
    </row>
    <row r="19" spans="2:29">
      <c r="B19" s="38" t="s">
        <v>331</v>
      </c>
      <c r="C19" s="38"/>
      <c r="R19" t="s">
        <v>35</v>
      </c>
      <c r="S19" t="s">
        <v>79</v>
      </c>
      <c r="T19">
        <v>35</v>
      </c>
      <c r="U19" t="s">
        <v>486</v>
      </c>
      <c r="X19" t="s">
        <v>448</v>
      </c>
      <c r="Y19" t="s">
        <v>466</v>
      </c>
      <c r="Z19" t="s">
        <v>449</v>
      </c>
      <c r="AA19" t="s">
        <v>473</v>
      </c>
      <c r="AB19" t="s">
        <v>452</v>
      </c>
      <c r="AC19" t="s">
        <v>453</v>
      </c>
    </row>
    <row r="20" spans="2:29">
      <c r="B20" s="38" t="s">
        <v>45</v>
      </c>
      <c r="C20">
        <f>C3</f>
        <v>0</v>
      </c>
      <c r="R20" t="s">
        <v>43</v>
      </c>
      <c r="S20" t="s">
        <v>65</v>
      </c>
      <c r="T20">
        <v>36</v>
      </c>
      <c r="U20" t="s">
        <v>489</v>
      </c>
      <c r="X20" t="s">
        <v>448</v>
      </c>
      <c r="Y20" t="s">
        <v>490</v>
      </c>
      <c r="Z20" t="s">
        <v>491</v>
      </c>
      <c r="AA20" t="s">
        <v>492</v>
      </c>
      <c r="AB20" t="s">
        <v>493</v>
      </c>
      <c r="AC20" t="s">
        <v>494</v>
      </c>
    </row>
    <row r="21" spans="2:29">
      <c r="B21" s="38" t="s">
        <v>495</v>
      </c>
      <c r="C21">
        <f>IF(COUNTIF(E6:E15,E6)=COUNTA(E6:E15),E6,X4)</f>
        <v>0</v>
      </c>
      <c r="R21" t="s">
        <v>43</v>
      </c>
      <c r="S21" t="s">
        <v>71</v>
      </c>
      <c r="T21">
        <v>40</v>
      </c>
      <c r="U21" t="s">
        <v>496</v>
      </c>
      <c r="X21" t="s">
        <v>448</v>
      </c>
      <c r="Y21" t="s">
        <v>490</v>
      </c>
      <c r="Z21" t="s">
        <v>491</v>
      </c>
      <c r="AA21" t="s">
        <v>492</v>
      </c>
      <c r="AB21" t="s">
        <v>493</v>
      </c>
      <c r="AC21" t="s">
        <v>494</v>
      </c>
    </row>
    <row r="22" spans="2:29">
      <c r="B22" s="38" t="s">
        <v>497</v>
      </c>
      <c r="C22">
        <f>SUM(C6:C15)</f>
        <v>0</v>
      </c>
    </row>
    <row r="23" spans="2:29">
      <c r="B23" s="38" t="s">
        <v>456</v>
      </c>
      <c r="C23" t="str">
        <f>IFERROR(ROUND(SUMPRODUCT(C6:C15,D6:D15)/SUM(C6:C15),0),"")</f>
        <v/>
      </c>
    </row>
    <row r="24" spans="2:29"/>
    <row r="25" spans="2:29">
      <c r="B25" s="80" t="s">
        <v>52</v>
      </c>
      <c r="C25" s="80" t="s">
        <v>109</v>
      </c>
      <c r="D25" s="80" t="s">
        <v>53</v>
      </c>
    </row>
  </sheetData>
  <sheetProtection algorithmName="SHA-512" hashValue="pVsda+1c7+d/xgkrA5a8QDEiuVvTke1XZB8HOjXse3nc73HQRmpSP6Y4YLbBQwSsTCR9aKJut2+/JMHQPENNdw==" saltValue="1WNBHq0XYXVIdh/j4UwURw==" spinCount="100000" sheet="1" objects="1" scenarios="1"/>
  <mergeCells count="1">
    <mergeCell ref="B2:E2"/>
  </mergeCells>
  <phoneticPr fontId="7" type="noConversion"/>
  <dataValidations count="3">
    <dataValidation type="list" allowBlank="1" showInputMessage="1" showErrorMessage="1" sqref="E6:E15" xr:uid="{897FB026-84A8-4990-B4FA-12468A12760E}">
      <formula1>OFFSET($S$3,MATCH($C$3,$S$4:$S$21,0),5,COUNTIF($S$4:$S$21,$C$3),6)</formula1>
    </dataValidation>
    <dataValidation type="list" allowBlank="1" showInputMessage="1" showErrorMessage="1" sqref="C29 C35 C11" xr:uid="{E85B7917-0AC6-4899-968B-A062FE762605}">
      <formula1>OFFSET($S$3,MATCH(O10,$S$4:$S$21,0),5,COUNTIF(S10:S27,O10),6)</formula1>
    </dataValidation>
    <dataValidation type="list" allowBlank="1" showInputMessage="1" showErrorMessage="1" sqref="C3" xr:uid="{1C1F43D7-9398-4B1E-810E-D22C300AB871}">
      <formula1>$S$4:$S$21</formula1>
    </dataValidation>
  </dataValidations>
  <hyperlinks>
    <hyperlink ref="B25" location="Index!A1" display="Back to index" xr:uid="{825ED56F-D75C-480F-B655-E5E2CB6CE5E8}"/>
    <hyperlink ref="D25" location="Effluent!A1" display="Next sheet" xr:uid="{D1D379C0-4FD6-4510-AC25-89117A053CE6}"/>
    <hyperlink ref="C25" location="'Purchased Supplements'!A1" display="Previous sheet" xr:uid="{24A92A7D-0A8D-4611-9939-F29F5CA1DEA9}"/>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593E-1841-40E8-81E9-BA221663B13F}">
  <dimension ref="A1:H27"/>
  <sheetViews>
    <sheetView showGridLines="0" zoomScale="115" zoomScaleNormal="115" workbookViewId="0"/>
  </sheetViews>
  <sheetFormatPr defaultColWidth="0" defaultRowHeight="15" zeroHeight="1"/>
  <cols>
    <col min="1" max="1" width="0.7109375" customWidth="1"/>
    <col min="2" max="2" width="9.28515625" bestFit="1" customWidth="1"/>
    <col min="3" max="3" width="21.5703125" customWidth="1"/>
    <col min="4" max="4" width="6.5703125" customWidth="1"/>
    <col min="5" max="5" width="15.85546875" bestFit="1" customWidth="1"/>
    <col min="6" max="6" width="8.7109375" customWidth="1"/>
    <col min="7" max="7" width="3.5703125" customWidth="1"/>
    <col min="8" max="8" width="1.140625" customWidth="1"/>
    <col min="9" max="16384" width="8.7109375" hidden="1"/>
  </cols>
  <sheetData>
    <row r="1" spans="2:7"/>
    <row r="2" spans="2:7" ht="54" customHeight="1">
      <c r="B2" s="83"/>
      <c r="C2" s="83"/>
      <c r="D2" s="83"/>
      <c r="E2" s="83"/>
    </row>
    <row r="3" spans="2:7" ht="108" customHeight="1">
      <c r="B3" s="2"/>
      <c r="C3" s="2"/>
      <c r="D3" s="2"/>
      <c r="E3" s="39"/>
    </row>
    <row r="4" spans="2:7" ht="21" customHeight="1">
      <c r="B4" s="114" t="s">
        <v>9</v>
      </c>
      <c r="C4" s="114"/>
      <c r="D4" s="114"/>
      <c r="E4" s="114"/>
    </row>
    <row r="5" spans="2:7" ht="21" customHeight="1">
      <c r="B5" s="114"/>
      <c r="C5" s="114"/>
      <c r="D5" s="114"/>
      <c r="E5" s="114"/>
    </row>
    <row r="6" spans="2:7" ht="21" customHeight="1">
      <c r="B6" s="102"/>
      <c r="C6" s="102"/>
      <c r="D6" s="102"/>
      <c r="E6" s="102"/>
    </row>
    <row r="7" spans="2:7" ht="21" customHeight="1">
      <c r="B7" s="114" t="s">
        <v>10</v>
      </c>
      <c r="C7" s="114"/>
      <c r="D7" s="114"/>
      <c r="E7" s="114"/>
      <c r="F7" s="114"/>
      <c r="G7" s="114"/>
    </row>
    <row r="8" spans="2:7" ht="21" customHeight="1">
      <c r="B8" s="114"/>
      <c r="C8" s="114"/>
      <c r="D8" s="114"/>
      <c r="E8" s="114"/>
      <c r="F8" s="114"/>
      <c r="G8" s="114"/>
    </row>
    <row r="9" spans="2:7" ht="21" customHeight="1">
      <c r="B9" s="114"/>
      <c r="C9" s="114"/>
      <c r="D9" s="114"/>
      <c r="E9" s="114"/>
      <c r="F9" s="114"/>
      <c r="G9" s="114"/>
    </row>
    <row r="10" spans="2:7" ht="21" customHeight="1">
      <c r="B10" s="114"/>
      <c r="C10" s="114"/>
      <c r="D10" s="114"/>
      <c r="E10" s="114"/>
      <c r="F10" s="114"/>
      <c r="G10" s="114"/>
    </row>
    <row r="11" spans="2:7" ht="21" customHeight="1">
      <c r="B11" s="114"/>
      <c r="C11" s="114"/>
      <c r="D11" s="114"/>
      <c r="E11" s="114"/>
      <c r="F11" s="114"/>
      <c r="G11" s="114"/>
    </row>
    <row r="12" spans="2:7" ht="21" customHeight="1">
      <c r="B12" s="114"/>
      <c r="C12" s="114"/>
      <c r="D12" s="114"/>
      <c r="E12" s="114"/>
      <c r="F12" s="114"/>
      <c r="G12" s="114"/>
    </row>
    <row r="13" spans="2:7" ht="48.95" customHeight="1">
      <c r="B13" s="114"/>
      <c r="C13" s="114"/>
      <c r="D13" s="114"/>
      <c r="E13" s="114"/>
      <c r="F13" s="114"/>
      <c r="G13" s="114"/>
    </row>
    <row r="14" spans="2:7"/>
    <row r="15" spans="2:7" ht="18.75">
      <c r="B15" s="1" t="s">
        <v>11</v>
      </c>
      <c r="C15" s="1" t="s">
        <v>12</v>
      </c>
    </row>
    <row r="16" spans="2:7">
      <c r="B16">
        <v>1</v>
      </c>
      <c r="C16" s="80" t="s">
        <v>13</v>
      </c>
    </row>
    <row r="17" spans="2:5">
      <c r="B17">
        <v>2</v>
      </c>
      <c r="C17" s="80" t="s">
        <v>14</v>
      </c>
    </row>
    <row r="18" spans="2:5">
      <c r="B18">
        <v>3</v>
      </c>
      <c r="C18" s="80" t="s">
        <v>15</v>
      </c>
    </row>
    <row r="19" spans="2:5">
      <c r="B19">
        <v>4</v>
      </c>
      <c r="C19" s="80" t="s">
        <v>16</v>
      </c>
    </row>
    <row r="20" spans="2:5">
      <c r="B20">
        <v>5</v>
      </c>
      <c r="C20" s="80" t="s">
        <v>17</v>
      </c>
      <c r="D20" s="82" t="s">
        <v>18</v>
      </c>
      <c r="E20" s="80" t="s">
        <v>19</v>
      </c>
    </row>
    <row r="21" spans="2:5">
      <c r="B21">
        <v>6</v>
      </c>
      <c r="C21" s="80" t="s">
        <v>20</v>
      </c>
    </row>
    <row r="22" spans="2:5">
      <c r="B22">
        <v>7</v>
      </c>
      <c r="C22" s="80" t="s">
        <v>21</v>
      </c>
    </row>
    <row r="23" spans="2:5">
      <c r="B23">
        <v>8</v>
      </c>
      <c r="C23" s="80" t="s">
        <v>22</v>
      </c>
    </row>
    <row r="24" spans="2:5">
      <c r="B24">
        <v>9</v>
      </c>
      <c r="C24" s="80" t="s">
        <v>23</v>
      </c>
    </row>
    <row r="25" spans="2:5"/>
    <row r="26" spans="2:5"/>
    <row r="27" spans="2:5"/>
  </sheetData>
  <sheetProtection algorithmName="SHA-512" hashValue="ucppIH4cmYUN3zcjh5k85zeRlaQbKtk2kn/Pv9YjO5rkOUAUsC6+HO5vmVreVuGRm12FG7xKhdVIXsogJN6gqQ==" saltValue="N4TWlw4WdVPLZ47V3bJNVg==" spinCount="100000" sheet="1" objects="1" scenarios="1"/>
  <mergeCells count="2">
    <mergeCell ref="B4:E5"/>
    <mergeCell ref="B7:G13"/>
  </mergeCells>
  <hyperlinks>
    <hyperlink ref="C16" location="'Farm details'!A1" display="Farm details" xr:uid="{E0EC4C14-E5A8-4BC6-A79F-3E02F1FCB4DB}"/>
    <hyperlink ref="C17" location="Livestock!A1" display="Livestock" xr:uid="{C8C763F5-E351-4063-B644-02FDED3CA0EE}"/>
    <hyperlink ref="C18" location="'Milk production'!A1" display="Milk production" xr:uid="{A7DCF900-9626-468D-9252-6A6DF6E2A8FB}"/>
    <hyperlink ref="C19" location="Diet!A1" display="Diet" xr:uid="{9700AA7F-43A5-477D-B9F7-EAD79FFC6C3D}"/>
    <hyperlink ref="C20" location="'Fertilisers - total tonnes'!A1" display="Fertilisers - total tonnes" xr:uid="{343B199F-0879-4A74-959F-AB65B5FD8D48}"/>
    <hyperlink ref="E20" location="'Fertilisers - kg per ha'!A1" display="Fertilisers - kg/ha" xr:uid="{B5B5C8B1-BFB6-40E1-93A5-070B488C752A}"/>
    <hyperlink ref="C21" location="'Energy consumption'!A1" display="Energy Consumption" xr:uid="{1AE955BD-A043-4FCC-9284-0ECDFD0DDA22}"/>
    <hyperlink ref="C22" location="'Purchased Supplements'!A1" display="Purchased Supplements" xr:uid="{847B2151-2129-4198-9903-3755AF3FB398}"/>
    <hyperlink ref="C24" location="Trees!A1" display="Trees" xr:uid="{B03DA183-8DBC-4517-8155-5F38F5AEE7CE}"/>
    <hyperlink ref="C23" location="Effluent!A1" display="Effluent" xr:uid="{A1DDD076-4601-493B-A3E3-27A5CFE22E6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E7F84-0ECA-49CC-9586-6A81175409A2}">
  <dimension ref="A8:H19"/>
  <sheetViews>
    <sheetView tabSelected="1" workbookViewId="0">
      <selection activeCell="N8" sqref="N8"/>
    </sheetView>
  </sheetViews>
  <sheetFormatPr defaultRowHeight="15"/>
  <cols>
    <col min="2" max="2" width="96.5703125" customWidth="1"/>
  </cols>
  <sheetData>
    <row r="8" spans="1:8" ht="95.25" customHeight="1">
      <c r="A8" s="110"/>
      <c r="B8" s="111" t="s">
        <v>24</v>
      </c>
      <c r="C8" s="110"/>
      <c r="D8" s="110"/>
      <c r="E8" s="110"/>
      <c r="F8" s="110"/>
      <c r="G8" s="110"/>
      <c r="H8" s="110"/>
    </row>
    <row r="9" spans="1:8" ht="15.75">
      <c r="A9" s="110"/>
      <c r="B9" s="112" t="s">
        <v>25</v>
      </c>
      <c r="C9" s="110"/>
      <c r="D9" s="110"/>
      <c r="E9" s="110"/>
      <c r="F9" s="110"/>
      <c r="G9" s="110"/>
      <c r="H9" s="110"/>
    </row>
    <row r="10" spans="1:8" ht="15.75">
      <c r="A10" s="110"/>
      <c r="B10" s="112" t="s">
        <v>26</v>
      </c>
      <c r="C10" s="110"/>
      <c r="D10" s="110"/>
      <c r="E10" s="110"/>
      <c r="F10" s="110"/>
      <c r="G10" s="110"/>
      <c r="H10" s="110"/>
    </row>
    <row r="11" spans="1:8" ht="15.75">
      <c r="A11" s="110"/>
      <c r="B11" s="112" t="s">
        <v>27</v>
      </c>
      <c r="C11" s="110"/>
      <c r="D11" s="110"/>
      <c r="E11" s="110"/>
      <c r="F11" s="110"/>
      <c r="G11" s="110"/>
      <c r="H11" s="110"/>
    </row>
    <row r="12" spans="1:8" ht="15.75">
      <c r="A12" s="110"/>
      <c r="B12" s="112" t="s">
        <v>28</v>
      </c>
      <c r="C12" s="110"/>
      <c r="D12" s="110"/>
      <c r="E12" s="110"/>
      <c r="F12" s="110"/>
      <c r="G12" s="110"/>
      <c r="H12" s="110"/>
    </row>
    <row r="13" spans="1:8" ht="15.75">
      <c r="A13" s="110"/>
      <c r="B13" s="112" t="s">
        <v>29</v>
      </c>
      <c r="C13" s="110"/>
      <c r="D13" s="110"/>
      <c r="E13" s="110"/>
      <c r="F13" s="110"/>
      <c r="G13" s="110"/>
      <c r="H13" s="110"/>
    </row>
    <row r="14" spans="1:8">
      <c r="A14" s="110"/>
      <c r="B14" s="113"/>
      <c r="C14" s="110"/>
      <c r="D14" s="110"/>
      <c r="E14" s="110"/>
      <c r="F14" s="110"/>
      <c r="G14" s="110"/>
      <c r="H14" s="110"/>
    </row>
    <row r="15" spans="1:8" ht="15.75">
      <c r="A15" s="110"/>
      <c r="B15" s="112" t="s">
        <v>30</v>
      </c>
      <c r="C15" s="110"/>
      <c r="D15" s="110"/>
      <c r="E15" s="110"/>
      <c r="F15" s="110"/>
      <c r="G15" s="110"/>
      <c r="H15" s="110"/>
    </row>
    <row r="16" spans="1:8" ht="15.75">
      <c r="A16" s="110"/>
      <c r="B16" s="112" t="s">
        <v>31</v>
      </c>
      <c r="C16" s="110"/>
      <c r="D16" s="110"/>
      <c r="E16" s="110"/>
      <c r="F16" s="110"/>
      <c r="G16" s="110"/>
      <c r="H16" s="110"/>
    </row>
    <row r="17" spans="1:8" ht="15.75">
      <c r="A17" s="110"/>
      <c r="B17" s="112" t="s">
        <v>32</v>
      </c>
      <c r="C17" s="110"/>
      <c r="D17" s="110"/>
      <c r="E17" s="110"/>
      <c r="F17" s="110"/>
      <c r="G17" s="110"/>
      <c r="H17" s="110"/>
    </row>
    <row r="18" spans="1:8" ht="15.75">
      <c r="A18" s="110"/>
      <c r="B18" s="112" t="s">
        <v>33</v>
      </c>
      <c r="C18" s="110"/>
      <c r="D18" s="110"/>
      <c r="E18" s="110"/>
      <c r="F18" s="110"/>
      <c r="G18" s="110"/>
      <c r="H18" s="110"/>
    </row>
    <row r="19" spans="1:8">
      <c r="A19" s="110"/>
      <c r="B19" s="110"/>
      <c r="C19" s="110"/>
      <c r="D19" s="110"/>
      <c r="E19" s="110"/>
      <c r="F19" s="110"/>
      <c r="G19" s="110"/>
      <c r="H19" s="110"/>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8"/>
  <sheetViews>
    <sheetView workbookViewId="0"/>
  </sheetViews>
  <sheetFormatPr defaultColWidth="0" defaultRowHeight="15" zeroHeight="1"/>
  <cols>
    <col min="1" max="1" width="28.42578125" bestFit="1" customWidth="1"/>
    <col min="2" max="2" width="37.5703125" customWidth="1"/>
    <col min="3" max="3" width="8.7109375" customWidth="1"/>
    <col min="4" max="16" width="0" hidden="1" customWidth="1"/>
    <col min="17" max="16384" width="8.7109375" hidden="1"/>
  </cols>
  <sheetData>
    <row r="1" spans="1:16" ht="21">
      <c r="A1" s="2" t="s">
        <v>13</v>
      </c>
    </row>
    <row r="2" spans="1:16" ht="21">
      <c r="A2" s="2"/>
    </row>
    <row r="3" spans="1:16">
      <c r="A3" t="s">
        <v>34</v>
      </c>
      <c r="B3" s="71"/>
      <c r="F3" s="3" t="s">
        <v>35</v>
      </c>
      <c r="P3" t="s">
        <v>36</v>
      </c>
    </row>
    <row r="4" spans="1:16">
      <c r="A4" t="s">
        <v>37</v>
      </c>
      <c r="B4" s="71"/>
      <c r="F4" s="3" t="s">
        <v>38</v>
      </c>
      <c r="P4" t="s">
        <v>35</v>
      </c>
    </row>
    <row r="5" spans="1:16">
      <c r="A5" t="s">
        <v>39</v>
      </c>
      <c r="B5" s="71"/>
      <c r="F5" s="3" t="s">
        <v>40</v>
      </c>
      <c r="P5" t="s">
        <v>41</v>
      </c>
    </row>
    <row r="6" spans="1:16">
      <c r="A6" t="s">
        <v>42</v>
      </c>
      <c r="B6" s="71"/>
      <c r="F6" s="3" t="s">
        <v>43</v>
      </c>
      <c r="P6" t="s">
        <v>44</v>
      </c>
    </row>
    <row r="7" spans="1:16">
      <c r="A7" t="s">
        <v>45</v>
      </c>
      <c r="B7" s="71"/>
      <c r="F7" s="3" t="s">
        <v>46</v>
      </c>
      <c r="P7" t="s">
        <v>47</v>
      </c>
    </row>
    <row r="8" spans="1:16">
      <c r="A8" t="s">
        <v>48</v>
      </c>
      <c r="B8" s="71"/>
      <c r="F8" s="4" t="s">
        <v>49</v>
      </c>
      <c r="P8" t="s">
        <v>50</v>
      </c>
    </row>
    <row r="9" spans="1:16">
      <c r="P9" t="s">
        <v>51</v>
      </c>
    </row>
    <row r="10" spans="1:16">
      <c r="A10" s="80" t="s">
        <v>52</v>
      </c>
      <c r="B10" s="80" t="s">
        <v>53</v>
      </c>
      <c r="P10" t="s">
        <v>54</v>
      </c>
    </row>
    <row r="11" spans="1:16" hidden="1">
      <c r="P11" t="s">
        <v>43</v>
      </c>
    </row>
    <row r="12" spans="1:16" hidden="1">
      <c r="P12" t="s">
        <v>55</v>
      </c>
    </row>
    <row r="13" spans="1:16" hidden="1">
      <c r="P13" t="s">
        <v>56</v>
      </c>
    </row>
    <row r="14" spans="1:16" hidden="1">
      <c r="P14" t="s">
        <v>57</v>
      </c>
    </row>
    <row r="15" spans="1:16" hidden="1">
      <c r="P15" t="s">
        <v>40</v>
      </c>
    </row>
    <row r="16" spans="1:16" hidden="1">
      <c r="P16" t="s">
        <v>58</v>
      </c>
    </row>
    <row r="17" spans="6:16" hidden="1">
      <c r="P17" t="s">
        <v>59</v>
      </c>
    </row>
    <row r="18" spans="6:16" hidden="1">
      <c r="P18" t="s">
        <v>60</v>
      </c>
    </row>
    <row r="19" spans="6:16" hidden="1">
      <c r="P19" t="s">
        <v>61</v>
      </c>
    </row>
    <row r="22" spans="6:16" hidden="1">
      <c r="F22" s="4" t="s">
        <v>35</v>
      </c>
      <c r="G22" s="4" t="s">
        <v>50</v>
      </c>
      <c r="H22" s="4" t="s">
        <v>40</v>
      </c>
      <c r="I22" s="4" t="s">
        <v>43</v>
      </c>
      <c r="J22" s="4" t="s">
        <v>57</v>
      </c>
      <c r="K22" s="4" t="s">
        <v>58</v>
      </c>
    </row>
    <row r="23" spans="6:16" hidden="1">
      <c r="F23" s="4" t="s">
        <v>62</v>
      </c>
      <c r="G23" s="4" t="s">
        <v>63</v>
      </c>
      <c r="H23" s="4" t="s">
        <v>64</v>
      </c>
      <c r="I23" s="4" t="s">
        <v>65</v>
      </c>
      <c r="J23" s="4" t="s">
        <v>66</v>
      </c>
      <c r="K23" s="4" t="s">
        <v>67</v>
      </c>
    </row>
    <row r="24" spans="6:16" hidden="1">
      <c r="F24" s="4" t="s">
        <v>68</v>
      </c>
      <c r="G24" s="4" t="s">
        <v>69</v>
      </c>
      <c r="H24" s="4" t="s">
        <v>70</v>
      </c>
      <c r="I24" s="4" t="s">
        <v>71</v>
      </c>
      <c r="J24" s="4" t="s">
        <v>72</v>
      </c>
      <c r="K24" s="4"/>
    </row>
    <row r="25" spans="6:16" hidden="1">
      <c r="F25" s="4" t="s">
        <v>73</v>
      </c>
      <c r="G25" s="4" t="s">
        <v>74</v>
      </c>
      <c r="H25" s="4" t="s">
        <v>75</v>
      </c>
      <c r="I25" s="4"/>
      <c r="J25" s="4"/>
      <c r="K25" s="4"/>
    </row>
    <row r="26" spans="6:16" hidden="1">
      <c r="F26" s="4" t="s">
        <v>76</v>
      </c>
      <c r="G26" s="4"/>
      <c r="H26" s="4" t="s">
        <v>77</v>
      </c>
      <c r="I26" s="4"/>
      <c r="J26" s="4"/>
      <c r="K26" s="4"/>
    </row>
    <row r="27" spans="6:16" hidden="1">
      <c r="F27" s="4" t="s">
        <v>78</v>
      </c>
      <c r="G27" s="4"/>
      <c r="H27" s="4"/>
      <c r="I27" s="4"/>
      <c r="J27" s="4"/>
      <c r="K27" s="4"/>
    </row>
    <row r="28" spans="6:16" hidden="1">
      <c r="F28" s="4" t="s">
        <v>79</v>
      </c>
      <c r="G28" s="4"/>
      <c r="H28" s="4"/>
      <c r="I28" s="4"/>
      <c r="J28" s="4"/>
      <c r="K28" s="4"/>
    </row>
  </sheetData>
  <sheetProtection algorithmName="SHA-512" hashValue="rcFxf8b1echfhRjeSlwz6FLI4GV0945vgvkoIrtaMwXdT007HXsinU+iwnpAJ7gJpOx0ygo92WbsWtySujU8bg==" saltValue="cgDiXznSQZ7F0YG0/4S98A==" spinCount="100000" sheet="1" objects="1" scenarios="1"/>
  <dataValidations count="3">
    <dataValidation type="list" allowBlank="1" showInputMessage="1" showErrorMessage="1" sqref="B6" xr:uid="{FB6897CE-E11B-413F-A400-F2684C11BEA3}">
      <formula1>State</formula1>
    </dataValidation>
    <dataValidation type="list" allowBlank="1" showInputMessage="1" showErrorMessage="1" sqref="B7" xr:uid="{8A89D315-750F-407C-AD13-15420DC351F5}">
      <formula1>INDIRECT(B6)</formula1>
    </dataValidation>
    <dataValidation type="list" allowBlank="1" showInputMessage="1" showErrorMessage="1" sqref="B8" xr:uid="{2A8F0956-85AB-4DD1-897D-1641EFF0D6A3}">
      <formula1>Industry.Average</formula1>
    </dataValidation>
  </dataValidations>
  <hyperlinks>
    <hyperlink ref="A10" location="Index!A1" display="Back to index" xr:uid="{4DC921AF-1D8E-496B-B9DC-399650E334FA}"/>
    <hyperlink ref="B10" location="Livestock!A1" display="Next sheet" xr:uid="{467A53F1-9CD9-4ABC-8A42-6E307112BC6C}"/>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E12B4-1B53-472F-8E41-6560AE77A063}">
  <sheetPr codeName="Sheet2"/>
  <dimension ref="A1:L36"/>
  <sheetViews>
    <sheetView zoomScaleNormal="100" workbookViewId="0">
      <selection activeCell="B2" sqref="B2:J8"/>
    </sheetView>
  </sheetViews>
  <sheetFormatPr defaultColWidth="0" defaultRowHeight="15" zeroHeight="1"/>
  <cols>
    <col min="1" max="1" width="30.5703125" bestFit="1" customWidth="1"/>
    <col min="2" max="11" width="15.42578125" customWidth="1"/>
    <col min="12" max="12" width="0" hidden="1" customWidth="1"/>
    <col min="13" max="16384" width="8.7109375" hidden="1"/>
  </cols>
  <sheetData>
    <row r="1" spans="1:12" ht="18.75">
      <c r="A1" s="1" t="s">
        <v>80</v>
      </c>
    </row>
    <row r="2" spans="1:12" ht="14.45" customHeight="1">
      <c r="B2" s="114" t="s">
        <v>81</v>
      </c>
      <c r="C2" s="114"/>
      <c r="D2" s="114"/>
      <c r="E2" s="114"/>
      <c r="F2" s="114"/>
      <c r="G2" s="114"/>
      <c r="H2" s="114"/>
      <c r="I2" s="114"/>
      <c r="J2" s="114"/>
      <c r="K2" s="109"/>
      <c r="L2" s="109"/>
    </row>
    <row r="3" spans="1:12">
      <c r="B3" s="114"/>
      <c r="C3" s="114"/>
      <c r="D3" s="114"/>
      <c r="E3" s="114"/>
      <c r="F3" s="114"/>
      <c r="G3" s="114"/>
      <c r="H3" s="114"/>
      <c r="I3" s="114"/>
      <c r="J3" s="114"/>
      <c r="K3" s="109"/>
      <c r="L3" s="109"/>
    </row>
    <row r="4" spans="1:12">
      <c r="B4" s="114"/>
      <c r="C4" s="114"/>
      <c r="D4" s="114"/>
      <c r="E4" s="114"/>
      <c r="F4" s="114"/>
      <c r="G4" s="114"/>
      <c r="H4" s="114"/>
      <c r="I4" s="114"/>
      <c r="J4" s="114"/>
      <c r="K4" s="109"/>
      <c r="L4" s="109"/>
    </row>
    <row r="5" spans="1:12">
      <c r="B5" s="114"/>
      <c r="C5" s="114"/>
      <c r="D5" s="114"/>
      <c r="E5" s="114"/>
      <c r="F5" s="114"/>
      <c r="G5" s="114"/>
      <c r="H5" s="114"/>
      <c r="I5" s="114"/>
      <c r="J5" s="114"/>
      <c r="K5" s="109"/>
      <c r="L5" s="109"/>
    </row>
    <row r="6" spans="1:12">
      <c r="B6" s="114"/>
      <c r="C6" s="114"/>
      <c r="D6" s="114"/>
      <c r="E6" s="114"/>
      <c r="F6" s="114"/>
      <c r="G6" s="114"/>
      <c r="H6" s="114"/>
      <c r="I6" s="114"/>
      <c r="J6" s="114"/>
      <c r="K6" s="109"/>
      <c r="L6" s="109"/>
    </row>
    <row r="7" spans="1:12">
      <c r="B7" s="114"/>
      <c r="C7" s="114"/>
      <c r="D7" s="114"/>
      <c r="E7" s="114"/>
      <c r="F7" s="114"/>
      <c r="G7" s="114"/>
      <c r="H7" s="114"/>
      <c r="I7" s="114"/>
      <c r="J7" s="114"/>
      <c r="K7" s="109"/>
      <c r="L7" s="109"/>
    </row>
    <row r="8" spans="1:12">
      <c r="B8" s="114"/>
      <c r="C8" s="114"/>
      <c r="D8" s="114"/>
      <c r="E8" s="114"/>
      <c r="F8" s="114"/>
      <c r="G8" s="114"/>
      <c r="H8" s="114"/>
      <c r="I8" s="114"/>
      <c r="J8" s="114"/>
      <c r="K8" s="109"/>
      <c r="L8" s="109"/>
    </row>
    <row r="9" spans="1:12"/>
    <row r="10" spans="1:12"/>
    <row r="11" spans="1:12"/>
    <row r="12" spans="1:12" ht="75">
      <c r="B12" s="102" t="s">
        <v>82</v>
      </c>
      <c r="C12" s="102" t="s">
        <v>83</v>
      </c>
      <c r="D12" s="102" t="s">
        <v>84</v>
      </c>
      <c r="E12" s="102" t="s">
        <v>85</v>
      </c>
      <c r="F12" s="102" t="s">
        <v>86</v>
      </c>
      <c r="G12" s="102" t="s">
        <v>87</v>
      </c>
      <c r="H12" s="102" t="s">
        <v>88</v>
      </c>
      <c r="I12" s="102" t="s">
        <v>89</v>
      </c>
      <c r="J12" s="6"/>
      <c r="K12" s="6"/>
      <c r="L12" s="6"/>
    </row>
    <row r="13" spans="1:12">
      <c r="A13" t="s">
        <v>90</v>
      </c>
      <c r="B13" s="71"/>
      <c r="C13" s="71"/>
      <c r="D13" s="71"/>
      <c r="E13" s="71"/>
      <c r="F13" s="71"/>
      <c r="G13" s="71"/>
      <c r="H13" s="71"/>
      <c r="I13" s="71"/>
    </row>
    <row r="14" spans="1:12">
      <c r="A14" t="s">
        <v>91</v>
      </c>
      <c r="C14" s="71"/>
      <c r="D14" s="71"/>
      <c r="E14" s="71"/>
      <c r="F14" s="71"/>
      <c r="G14" s="71"/>
      <c r="H14" s="71"/>
      <c r="I14" s="71"/>
    </row>
    <row r="15" spans="1:12">
      <c r="A15" t="s">
        <v>92</v>
      </c>
      <c r="C15" s="71"/>
      <c r="D15" s="71"/>
      <c r="E15" s="71"/>
      <c r="F15" s="71"/>
      <c r="G15" s="71"/>
      <c r="H15" s="71"/>
      <c r="I15" s="71"/>
    </row>
    <row r="16" spans="1:12">
      <c r="A16" t="s">
        <v>93</v>
      </c>
      <c r="B16" s="71"/>
      <c r="C16" s="76">
        <f>C14+((C15-C14)/2)</f>
        <v>0</v>
      </c>
      <c r="D16" s="76">
        <f t="shared" ref="D16:I16" si="0">D14+((D15-D14)/2)</f>
        <v>0</v>
      </c>
      <c r="E16" s="76">
        <f t="shared" si="0"/>
        <v>0</v>
      </c>
      <c r="F16" s="76">
        <f t="shared" si="0"/>
        <v>0</v>
      </c>
      <c r="G16" s="76">
        <f t="shared" si="0"/>
        <v>0</v>
      </c>
      <c r="H16" s="76">
        <f t="shared" si="0"/>
        <v>0</v>
      </c>
      <c r="I16" s="76">
        <f t="shared" si="0"/>
        <v>0</v>
      </c>
    </row>
    <row r="17" spans="1:9" ht="30">
      <c r="A17" s="108" t="s">
        <v>94</v>
      </c>
      <c r="C17" s="76">
        <f t="shared" ref="C17:G17" si="1">IFERROR((C15-C14)/365,"")</f>
        <v>0</v>
      </c>
      <c r="D17" s="76">
        <f t="shared" si="1"/>
        <v>0</v>
      </c>
      <c r="E17" s="76">
        <f t="shared" si="1"/>
        <v>0</v>
      </c>
      <c r="F17" s="76">
        <f t="shared" si="1"/>
        <v>0</v>
      </c>
      <c r="G17" s="76">
        <f t="shared" si="1"/>
        <v>0</v>
      </c>
      <c r="H17" s="76">
        <f>IFERROR((H15-H14)/7,"")</f>
        <v>0</v>
      </c>
      <c r="I17" s="76">
        <f>IFERROR((I15-I14)/50,"")</f>
        <v>0</v>
      </c>
    </row>
    <row r="18" spans="1:9">
      <c r="A18" t="s">
        <v>95</v>
      </c>
      <c r="B18" s="71"/>
      <c r="C18" s="71"/>
      <c r="D18" s="71"/>
      <c r="E18" s="71"/>
      <c r="F18" s="71"/>
      <c r="G18" s="71"/>
      <c r="H18" s="71"/>
      <c r="I18" s="71"/>
    </row>
    <row r="19" spans="1:9">
      <c r="A19" t="s">
        <v>96</v>
      </c>
      <c r="B19" s="71"/>
      <c r="C19" s="71"/>
      <c r="D19" s="71"/>
      <c r="E19" s="71"/>
      <c r="F19" s="71"/>
      <c r="G19" s="71"/>
      <c r="H19" s="71"/>
      <c r="I19" s="71"/>
    </row>
    <row r="20" spans="1:9"/>
    <row r="21" spans="1:9"/>
    <row r="22" spans="1:9"/>
    <row r="23" spans="1:9"/>
    <row r="24" spans="1:9" ht="18.75">
      <c r="A24" s="1" t="s">
        <v>97</v>
      </c>
    </row>
    <row r="25" spans="1:9"/>
    <row r="26" spans="1:9">
      <c r="A26" t="s">
        <v>98</v>
      </c>
      <c r="B26" s="71"/>
    </row>
    <row r="27" spans="1:9">
      <c r="A27" t="s">
        <v>99</v>
      </c>
      <c r="B27" s="79"/>
    </row>
    <row r="28" spans="1:9" ht="30">
      <c r="B28" s="108" t="s">
        <v>100</v>
      </c>
      <c r="C28" s="108" t="s">
        <v>101</v>
      </c>
      <c r="D28" s="108" t="s">
        <v>102</v>
      </c>
      <c r="E28" s="108" t="s">
        <v>103</v>
      </c>
    </row>
    <row r="29" spans="1:9">
      <c r="A29" t="s">
        <v>104</v>
      </c>
      <c r="B29" s="71"/>
      <c r="C29" s="71"/>
      <c r="D29" s="71"/>
      <c r="E29" s="71"/>
    </row>
    <row r="30" spans="1:9">
      <c r="A30" t="s">
        <v>105</v>
      </c>
      <c r="B30" s="71"/>
      <c r="C30" s="71"/>
      <c r="D30" s="71"/>
      <c r="E30" s="71"/>
    </row>
    <row r="31" spans="1:9">
      <c r="A31" t="s">
        <v>106</v>
      </c>
      <c r="B31" s="71"/>
      <c r="C31" s="71"/>
      <c r="D31" s="71"/>
      <c r="E31" s="71"/>
    </row>
    <row r="32" spans="1:9">
      <c r="A32" t="s">
        <v>107</v>
      </c>
      <c r="B32" s="71"/>
      <c r="C32" s="71"/>
      <c r="D32" s="71"/>
      <c r="E32" s="71"/>
    </row>
    <row r="33" spans="1:5">
      <c r="A33" t="s">
        <v>108</v>
      </c>
      <c r="B33" s="71"/>
      <c r="C33" s="71"/>
      <c r="D33" s="71"/>
      <c r="E33" s="71"/>
    </row>
    <row r="34" spans="1:5"/>
    <row r="35" spans="1:5">
      <c r="A35" s="80" t="s">
        <v>52</v>
      </c>
      <c r="B35" s="80" t="s">
        <v>109</v>
      </c>
      <c r="C35" s="80" t="s">
        <v>53</v>
      </c>
    </row>
    <row r="36" spans="1:5"/>
  </sheetData>
  <sheetProtection algorithmName="SHA-512" hashValue="2wd18p0nsZONxsy+gxt4lamloHSNUx/jbioZ8Zd949/o6JYIMM5Kwe+prmrvI/8WV5OWMw8jQzJULpDZ4S13cQ==" saltValue="+1xsLpBOwMY0x6qvBbVYXg==" spinCount="100000" sheet="1" objects="1" scenarios="1"/>
  <mergeCells count="1">
    <mergeCell ref="B2:J8"/>
  </mergeCells>
  <hyperlinks>
    <hyperlink ref="A35" location="Index!A1" display="Back to index" xr:uid="{45EC0843-CAD5-4C62-AA9A-F48424C4DDCF}"/>
    <hyperlink ref="C35" location="'Milk production'!A1" display="Next sheet" xr:uid="{C77367D6-5789-4ECF-BF32-0E4E770B0DB2}"/>
    <hyperlink ref="B35" location="'Farm details'!A1" display="Previous sheet" xr:uid="{C7A1D293-17F4-491E-8C1D-C097AA411BE3}"/>
  </hyperlink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D140-70FD-4758-814D-0D323E9AFD0A}">
  <sheetPr codeName="Sheet3"/>
  <dimension ref="A1:J20"/>
  <sheetViews>
    <sheetView workbookViewId="0"/>
  </sheetViews>
  <sheetFormatPr defaultColWidth="0" defaultRowHeight="15" zeroHeight="1"/>
  <cols>
    <col min="1" max="1" width="8.7109375" customWidth="1"/>
    <col min="2" max="2" width="21.7109375" customWidth="1"/>
    <col min="3" max="3" width="20.85546875" customWidth="1"/>
    <col min="4" max="4" width="13.85546875" customWidth="1"/>
    <col min="5" max="5" width="8.7109375" customWidth="1"/>
    <col min="6" max="10" width="0" hidden="1" customWidth="1"/>
    <col min="11" max="16384" width="8.7109375" hidden="1"/>
  </cols>
  <sheetData>
    <row r="1" spans="2:10"/>
    <row r="2" spans="2:10" ht="18.75">
      <c r="B2" s="1" t="s">
        <v>15</v>
      </c>
    </row>
    <row r="3" spans="2:10"/>
    <row r="4" spans="2:10" ht="30">
      <c r="B4" s="102" t="s">
        <v>110</v>
      </c>
      <c r="C4" s="71"/>
      <c r="J4" t="s">
        <v>111</v>
      </c>
    </row>
    <row r="5" spans="2:10" ht="60">
      <c r="B5" s="102" t="s">
        <v>112</v>
      </c>
      <c r="C5" s="71"/>
      <c r="D5" t="str">
        <f>IFERROR(IF($C$4=$J$4,"L/yr",IF($C$4=$J$5,$J$5&amp;"/yr","")),"")</f>
        <v/>
      </c>
      <c r="J5" t="s">
        <v>113</v>
      </c>
    </row>
    <row r="6" spans="2:10">
      <c r="B6" t="s">
        <v>114</v>
      </c>
      <c r="C6" s="77"/>
    </row>
    <row r="7" spans="2:10">
      <c r="B7" t="s">
        <v>115</v>
      </c>
      <c r="C7" s="77"/>
    </row>
    <row r="8" spans="2:10" ht="30">
      <c r="B8" s="108" t="s">
        <v>116</v>
      </c>
      <c r="C8" s="73"/>
    </row>
    <row r="9" spans="2:10" ht="75">
      <c r="B9" s="108" t="s">
        <v>117</v>
      </c>
      <c r="C9" s="78"/>
      <c r="D9" s="109"/>
      <c r="J9" t="s">
        <v>118</v>
      </c>
    </row>
    <row r="10" spans="2:10" ht="30">
      <c r="B10" s="109" t="s">
        <v>119</v>
      </c>
      <c r="C10" s="71"/>
      <c r="J10" t="s">
        <v>120</v>
      </c>
    </row>
    <row r="11" spans="2:10">
      <c r="B11" s="109" t="s">
        <v>121</v>
      </c>
      <c r="C11" s="71"/>
    </row>
    <row r="12" spans="2:10" ht="30">
      <c r="B12" s="109" t="s">
        <v>122</v>
      </c>
      <c r="C12" s="71"/>
    </row>
    <row r="13" spans="2:10">
      <c r="B13" t="s">
        <v>123</v>
      </c>
      <c r="C13" s="5"/>
    </row>
    <row r="14" spans="2:10">
      <c r="B14" t="s">
        <v>124</v>
      </c>
      <c r="C14" s="5"/>
    </row>
    <row r="15" spans="2:10">
      <c r="B15" s="109" t="s">
        <v>125</v>
      </c>
      <c r="C15" t="str">
        <f>IF(C12=B13,(C11*C13),IF(C12=B14,(C10*C11*C14),""))</f>
        <v/>
      </c>
    </row>
    <row r="16" spans="2:10"/>
    <row r="17" spans="2:4">
      <c r="B17" t="s">
        <v>126</v>
      </c>
      <c r="C17">
        <f>IF(C9=J9,IF(C4=J4,C5+C15,IF(C4=J5,C5+(C15*SUM(C6:C7)),"")),C5)</f>
        <v>0</v>
      </c>
      <c r="D17" t="str">
        <f>IFERROR(IF($C$4=$J$4,"L/yr",IF($C$4=$J$5,$J$5&amp;"/yr","")),"")</f>
        <v/>
      </c>
    </row>
    <row r="18" spans="2:4"/>
    <row r="19" spans="2:4">
      <c r="B19" s="80" t="s">
        <v>52</v>
      </c>
      <c r="C19" s="80" t="s">
        <v>109</v>
      </c>
      <c r="D19" s="80" t="s">
        <v>53</v>
      </c>
    </row>
    <row r="20" spans="2:4"/>
  </sheetData>
  <sheetProtection algorithmName="SHA-512" hashValue="VtAxlCs9aa0JaTJRdzoiW6ZZS8GTgfXUykLnMCIKcd9r5wI8qk5YUaVQUh6MGJkZ6NY3inRZLWHFD2N/a+EZQg==" saltValue="NPir3NSoz1K4IJmyq3tL9g==" spinCount="100000" sheet="1" objects="1" scenarios="1"/>
  <conditionalFormatting sqref="C13">
    <cfRule type="expression" dxfId="5" priority="2">
      <formula>$C$12="Litres per day"</formula>
    </cfRule>
  </conditionalFormatting>
  <conditionalFormatting sqref="C14">
    <cfRule type="expression" dxfId="4" priority="1">
      <formula>$C$12="Litres per calf"</formula>
    </cfRule>
  </conditionalFormatting>
  <dataValidations count="5">
    <dataValidation type="list" allowBlank="1" showInputMessage="1" showErrorMessage="1" sqref="C4" xr:uid="{B613AA2A-419A-463B-9081-2DD02EDCA145}">
      <formula1>$J$4:$J$5</formula1>
    </dataValidation>
    <dataValidation type="list" allowBlank="1" showInputMessage="1" showErrorMessage="1" sqref="C9" xr:uid="{9F759D23-2683-42E0-B972-394EEFD3686C}">
      <formula1>$J$9:$J$10</formula1>
    </dataValidation>
    <dataValidation type="list" allowBlank="1" showInputMessage="1" showErrorMessage="1" sqref="C12" xr:uid="{497DECB4-AA07-4E25-B4D0-FA624EFFBF11}">
      <formula1>$B$13:$B$14</formula1>
    </dataValidation>
    <dataValidation type="custom" allowBlank="1" showInputMessage="1" showErrorMessage="1" errorTitle="Cell protected" error="To enter litres per day, select &quot;Litres per day&quot; in the box above" sqref="C13" xr:uid="{9F21772E-DFA3-4A81-846A-998978279D55}">
      <formula1>$C$12="Litres per day"</formula1>
    </dataValidation>
    <dataValidation type="custom" allowBlank="1" showInputMessage="1" showErrorMessage="1" errorTitle="Cell protected" error="To enter litres per calf, select &quot;Litres per calf in the box above." sqref="C14" xr:uid="{350CEC99-7347-4902-B6CE-F1C242EB8FDF}">
      <formula1>$C$12="Litres per calf"</formula1>
    </dataValidation>
  </dataValidations>
  <hyperlinks>
    <hyperlink ref="B19" location="Index!A1" display="Back to index" xr:uid="{D9242869-0D18-4299-8943-18F4EF4284EA}"/>
    <hyperlink ref="D19" location="Diet!A1" display="Next sheet" xr:uid="{94BD9BB8-DABC-4200-B74E-696166859B43}"/>
    <hyperlink ref="C19" location="Livestock!A1" display="Previous sheet" xr:uid="{1EF3922E-87D0-42E1-9B3D-3B3A1CA41F1D}"/>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98404-EBCB-4AE6-A632-5661470CC7AC}">
  <dimension ref="A1:AK1048576"/>
  <sheetViews>
    <sheetView workbookViewId="0"/>
  </sheetViews>
  <sheetFormatPr defaultColWidth="0" defaultRowHeight="15" zeroHeight="1"/>
  <cols>
    <col min="1" max="1" width="33.28515625" customWidth="1"/>
    <col min="2" max="2" width="20.7109375" bestFit="1" customWidth="1"/>
    <col min="3" max="3" width="10.5703125" customWidth="1"/>
    <col min="4" max="4" width="10.5703125" hidden="1" customWidth="1"/>
    <col min="5" max="9" width="8.7109375" customWidth="1"/>
    <col min="10" max="10" width="29.42578125" bestFit="1" customWidth="1"/>
    <col min="11" max="11" width="9.5703125" bestFit="1" customWidth="1"/>
    <col min="12" max="14" width="8.7109375" customWidth="1"/>
    <col min="15" max="20" width="8.7109375" hidden="1" customWidth="1"/>
    <col min="21" max="21" width="36.28515625" hidden="1" customWidth="1"/>
    <col min="22" max="25" width="8.7109375" hidden="1" customWidth="1"/>
    <col min="26" max="26" width="36.7109375" hidden="1" customWidth="1"/>
    <col min="27" max="16384" width="8.7109375" hidden="1"/>
  </cols>
  <sheetData>
    <row r="1" spans="1:35" ht="18.75">
      <c r="A1" s="1" t="s">
        <v>127</v>
      </c>
    </row>
    <row r="2" spans="1:35" ht="18.75">
      <c r="A2" s="1"/>
    </row>
    <row r="3" spans="1:35" ht="65.45" customHeight="1">
      <c r="A3" s="114" t="s">
        <v>128</v>
      </c>
      <c r="B3" s="114"/>
      <c r="C3" s="114"/>
      <c r="D3" s="114"/>
      <c r="E3" s="114"/>
      <c r="F3" s="114"/>
      <c r="G3" s="114"/>
    </row>
    <row r="4" spans="1:35" ht="32.1" customHeight="1">
      <c r="A4" s="114" t="s">
        <v>129</v>
      </c>
      <c r="B4" s="114"/>
      <c r="C4" s="114"/>
      <c r="D4" s="114"/>
      <c r="E4" s="114"/>
      <c r="F4" s="114"/>
      <c r="G4" s="114"/>
    </row>
    <row r="5" spans="1:35" ht="48.6" customHeight="1">
      <c r="A5" s="114" t="s">
        <v>130</v>
      </c>
      <c r="B5" s="114"/>
      <c r="C5" s="114"/>
      <c r="D5" s="114"/>
      <c r="E5" s="114"/>
      <c r="F5" s="114"/>
      <c r="G5" s="114"/>
    </row>
    <row r="6" spans="1:35">
      <c r="U6" t="s">
        <v>131</v>
      </c>
      <c r="V6" t="s">
        <v>132</v>
      </c>
    </row>
    <row r="7" spans="1:35">
      <c r="U7" t="s">
        <v>133</v>
      </c>
      <c r="V7" t="s">
        <v>134</v>
      </c>
    </row>
    <row r="8" spans="1:35" ht="30">
      <c r="A8" s="109" t="s">
        <v>135</v>
      </c>
      <c r="B8" s="71"/>
    </row>
    <row r="9" spans="1:35" ht="45">
      <c r="A9" s="108" t="s">
        <v>136</v>
      </c>
      <c r="B9" s="71"/>
      <c r="U9" t="s">
        <v>137</v>
      </c>
    </row>
    <row r="10" spans="1:35" ht="30">
      <c r="A10" s="108" t="s">
        <v>138</v>
      </c>
      <c r="B10" s="71"/>
      <c r="U10" t="s">
        <v>139</v>
      </c>
    </row>
    <row r="11" spans="1:35">
      <c r="U11" t="s">
        <v>140</v>
      </c>
    </row>
    <row r="12" spans="1:35">
      <c r="C12" t="s">
        <v>141</v>
      </c>
      <c r="D12" t="s">
        <v>141</v>
      </c>
      <c r="E12" t="s">
        <v>139</v>
      </c>
      <c r="F12" t="s">
        <v>142</v>
      </c>
      <c r="U12" t="s">
        <v>143</v>
      </c>
    </row>
    <row r="13" spans="1:35" ht="15.75">
      <c r="A13" t="s">
        <v>144</v>
      </c>
      <c r="B13" t="str">
        <f>A13</f>
        <v>Pastures</v>
      </c>
      <c r="C13" s="71"/>
      <c r="D13" s="88">
        <f>C13</f>
        <v>0</v>
      </c>
      <c r="E13" s="88" t="str">
        <f>IF($B$10=$U$12,VLOOKUP(B13,$Z$15:$AI$73,5,FALSE),"")</f>
        <v/>
      </c>
      <c r="F13" s="88" t="str">
        <f>IF($B$10=$U$12,VLOOKUP(B13,$Z$15:$AI$73,8,FALSE),"")</f>
        <v/>
      </c>
      <c r="J13" s="115" t="s">
        <v>145</v>
      </c>
      <c r="K13" s="115"/>
      <c r="L13" s="115"/>
      <c r="M13" s="115"/>
      <c r="Z13" s="7"/>
      <c r="AA13" s="116" t="s">
        <v>146</v>
      </c>
      <c r="AB13" s="117"/>
      <c r="AC13" s="118"/>
      <c r="AD13" s="122" t="s">
        <v>147</v>
      </c>
      <c r="AE13" s="117"/>
      <c r="AF13" s="118"/>
      <c r="AG13" s="122" t="s">
        <v>148</v>
      </c>
      <c r="AH13" s="117"/>
      <c r="AI13" s="118"/>
    </row>
    <row r="14" spans="1:35" ht="15.75">
      <c r="A14" t="s">
        <v>149</v>
      </c>
      <c r="B14" t="s">
        <v>150</v>
      </c>
      <c r="C14" t="str">
        <f>IF(B8=U6,V6,IF(B8=U7,V7,""))</f>
        <v/>
      </c>
      <c r="D14" t="s">
        <v>141</v>
      </c>
      <c r="E14" t="str">
        <f>IF(B9=U9,U9,IF(B9=U10,U10,""))</f>
        <v/>
      </c>
      <c r="F14" t="s">
        <v>142</v>
      </c>
      <c r="J14" s="38" t="s">
        <v>149</v>
      </c>
      <c r="K14" s="38" t="s">
        <v>141</v>
      </c>
      <c r="L14" s="38" t="s">
        <v>139</v>
      </c>
      <c r="M14" s="38" t="s">
        <v>142</v>
      </c>
      <c r="Z14" s="8"/>
      <c r="AA14" s="119"/>
      <c r="AB14" s="120"/>
      <c r="AC14" s="121"/>
      <c r="AD14" s="123"/>
      <c r="AE14" s="120"/>
      <c r="AF14" s="121"/>
      <c r="AG14" s="123"/>
      <c r="AH14" s="120"/>
      <c r="AI14" s="121"/>
    </row>
    <row r="15" spans="1:35" ht="18.95" customHeight="1">
      <c r="A15" t="s">
        <v>151</v>
      </c>
      <c r="B15" s="71"/>
      <c r="C15" s="71"/>
      <c r="D15" s="88" t="str">
        <f>IFERROR(IF($C$14=$V$7,C15,(C15*(VLOOKUP(B15,$Z$15:$AI$73,2,FALSE)/100))),"")</f>
        <v/>
      </c>
      <c r="E15" s="5" t="str">
        <f>IFERROR(IF($B$10=$U$12,IF($E$14=$U$10,VLOOKUP(B15,$Z$15:$AI$73,5,FALSE),IF($E$14=$U$9,((VLOOKUP(B15,$Z$15:$AI$73,5,FALSE)*0.1604)-1.037),"")),""),"")</f>
        <v/>
      </c>
      <c r="F15" s="5" t="str">
        <f>IFERROR(IF($B$10=$U$12,VLOOKUP(B15,$Z$15:$AI$73,8,FALSE),""),"")</f>
        <v/>
      </c>
      <c r="J15" s="38" t="s">
        <v>144</v>
      </c>
      <c r="K15">
        <f>IF(C13&gt;0,C13,D13)</f>
        <v>0</v>
      </c>
      <c r="L15" t="str">
        <f>IF(E13&gt;0,E13,"")</f>
        <v/>
      </c>
      <c r="M15" t="str">
        <f>F13</f>
        <v/>
      </c>
      <c r="Z15" s="9" t="s">
        <v>152</v>
      </c>
      <c r="AA15" s="103" t="s">
        <v>153</v>
      </c>
      <c r="AB15" s="124" t="s">
        <v>154</v>
      </c>
      <c r="AC15" s="125"/>
      <c r="AD15" s="10" t="s">
        <v>153</v>
      </c>
      <c r="AE15" s="124" t="s">
        <v>154</v>
      </c>
      <c r="AF15" s="125"/>
      <c r="AG15" s="10" t="s">
        <v>153</v>
      </c>
      <c r="AH15" s="124" t="s">
        <v>154</v>
      </c>
      <c r="AI15" s="125"/>
    </row>
    <row r="16" spans="1:35" ht="18.95" customHeight="1">
      <c r="A16" t="s">
        <v>155</v>
      </c>
      <c r="B16" s="71"/>
      <c r="C16" s="71"/>
      <c r="D16" s="88" t="str">
        <f>IFERROR(IF($C$14=$V$7,C16,(C16*(VLOOKUP(B16,$Z$15:$AI$73,2,FALSE)/100))),"")</f>
        <v/>
      </c>
      <c r="E16" s="5" t="str">
        <f>IFERROR(IF($B$10=$U$12,IF($E$14=$U$10,VLOOKUP(B16,$Z$15:$AI$73,5,FALSE),IF($E$14=$U$9,((VLOOKUP(B16,$Z$15:$AI$73,5,FALSE)*0.1604)-1.037),"")),""),"")</f>
        <v/>
      </c>
      <c r="F16" s="5" t="str">
        <f>IFERROR(IF($B$10=$U$12,VLOOKUP(B16,$Z$15:$AI$73,8,FALSE),""),"")</f>
        <v/>
      </c>
      <c r="J16" s="38" t="s">
        <v>156</v>
      </c>
      <c r="K16">
        <f>D21</f>
        <v>0</v>
      </c>
      <c r="L16">
        <f>IF($E$14=$U$10,E21,IF($E$14=$U$9,IF(E21&gt;0,(E21+1.037)/0.1604,0),0))</f>
        <v>0</v>
      </c>
      <c r="M16" s="37">
        <f>F21</f>
        <v>0</v>
      </c>
      <c r="U16" s="4" t="s">
        <v>15</v>
      </c>
      <c r="Z16" s="11" t="s">
        <v>157</v>
      </c>
      <c r="AA16" s="12">
        <v>88.7</v>
      </c>
      <c r="AB16" s="12">
        <v>81.2</v>
      </c>
      <c r="AC16" s="13">
        <v>97</v>
      </c>
      <c r="AD16" s="14">
        <v>79.520573566084792</v>
      </c>
      <c r="AE16" s="14">
        <v>55.599750623441395</v>
      </c>
      <c r="AF16" s="14">
        <v>87.278678304239406</v>
      </c>
      <c r="AG16" s="12">
        <v>10.8</v>
      </c>
      <c r="AH16" s="12">
        <v>6.3</v>
      </c>
      <c r="AI16" s="15">
        <v>19</v>
      </c>
    </row>
    <row r="17" spans="1:37" ht="18.95" customHeight="1">
      <c r="A17" t="s">
        <v>158</v>
      </c>
      <c r="B17" s="71"/>
      <c r="C17" s="71"/>
      <c r="D17" s="88" t="str">
        <f>IFERROR(IF($C$14=$V$7,C17,(C17*(VLOOKUP(B17,$Z$15:$AI$73,2,FALSE)/100))),"")</f>
        <v/>
      </c>
      <c r="E17" s="5" t="str">
        <f>IFERROR(IF($B$10=$U$12,IF($E$14=$U$10,VLOOKUP(B17,$Z$15:$AI$73,5,FALSE),IF($E$14=$U$9,((VLOOKUP(B17,$Z$15:$AI$73,5,FALSE)*0.1604)-1.037),"")),""),"")</f>
        <v/>
      </c>
      <c r="F17" s="5" t="str">
        <f>IFERROR(IF($B$10=$U$12,VLOOKUP(B17,$Z$15:$AI$73,8,FALSE),""),"")</f>
        <v/>
      </c>
      <c r="J17" s="38" t="s">
        <v>159</v>
      </c>
      <c r="K17">
        <f>D28</f>
        <v>0</v>
      </c>
      <c r="L17">
        <f>IF($E$14=$U$10,E28,IF($E$14=$U$9,IF(E28&gt;0,(E28+1.037)/0.1604,0),0))</f>
        <v>0</v>
      </c>
      <c r="M17" s="37">
        <f>F28</f>
        <v>0</v>
      </c>
      <c r="U17" s="4" t="s">
        <v>111</v>
      </c>
      <c r="V17">
        <f>IF('Milk production'!$C$4=Diet!U17,1,2)</f>
        <v>2</v>
      </c>
      <c r="Z17" s="11" t="s">
        <v>160</v>
      </c>
      <c r="AA17" s="19">
        <v>91.6</v>
      </c>
      <c r="AB17" s="19">
        <v>86.1</v>
      </c>
      <c r="AC17" s="19">
        <v>95.5</v>
      </c>
      <c r="AD17" s="18">
        <v>81.460099750623442</v>
      </c>
      <c r="AE17" s="18">
        <v>72.408977556109718</v>
      </c>
      <c r="AF17" s="18">
        <v>96.32980049875313</v>
      </c>
      <c r="AG17" s="19">
        <v>32</v>
      </c>
      <c r="AH17" s="19">
        <v>21.3</v>
      </c>
      <c r="AI17" s="18">
        <v>43.2</v>
      </c>
    </row>
    <row r="18" spans="1:37" ht="18.95" customHeight="1">
      <c r="A18" t="s">
        <v>161</v>
      </c>
      <c r="B18" s="71"/>
      <c r="C18" s="71"/>
      <c r="D18" s="88" t="str">
        <f>IFERROR(IF($C$14=$V$7,C18,(C18*(VLOOKUP(B18,$Z$15:$AI$73,2,FALSE)/100))),"")</f>
        <v/>
      </c>
      <c r="E18" s="5" t="str">
        <f>IFERROR(IF($B$10=$U$12,IF($E$14=$U$10,VLOOKUP(B18,$Z$15:$AI$73,5,FALSE),IF($E$14=$U$9,((VLOOKUP(B18,$Z$15:$AI$73,5,FALSE)*0.1604)-1.037),"")),""),"")</f>
        <v/>
      </c>
      <c r="F18" s="5" t="str">
        <f>IFERROR(IF($B$10=$U$12,VLOOKUP(B18,$Z$15:$AI$73,8,FALSE),""),"")</f>
        <v/>
      </c>
      <c r="J18" s="38" t="s">
        <v>162</v>
      </c>
      <c r="K18">
        <f>D35</f>
        <v>0</v>
      </c>
      <c r="L18">
        <f>IF($E$14=$U$10,E35,IF($E$14=$U$9,IF(E35&gt;0,(E35+1.037)/0.1604,0),0))</f>
        <v>0</v>
      </c>
      <c r="M18" s="37">
        <f>F35</f>
        <v>0</v>
      </c>
      <c r="U18" s="4" t="s">
        <v>163</v>
      </c>
      <c r="V18">
        <f>IF(V17=1,'Milk production'!C17,0)</f>
        <v>0</v>
      </c>
      <c r="Z18" s="11" t="s">
        <v>164</v>
      </c>
      <c r="AA18" s="11">
        <v>84.2</v>
      </c>
      <c r="AB18" s="11">
        <v>60.3</v>
      </c>
      <c r="AC18" s="11">
        <v>96.4</v>
      </c>
      <c r="AD18" s="11">
        <v>89.218204488778056</v>
      </c>
      <c r="AE18" s="11">
        <v>79.520573566084792</v>
      </c>
      <c r="AF18" s="11">
        <v>96.32980049875313</v>
      </c>
      <c r="AG18" s="11">
        <v>10</v>
      </c>
      <c r="AH18" s="11">
        <v>7.3</v>
      </c>
      <c r="AI18" s="11">
        <v>21.9</v>
      </c>
    </row>
    <row r="19" spans="1:37" ht="18.95" customHeight="1">
      <c r="A19" t="s">
        <v>165</v>
      </c>
      <c r="B19" s="71"/>
      <c r="C19" s="71"/>
      <c r="D19" s="88" t="str">
        <f>IFERROR(IF($C$14=$V$7,C19,(C19*(VLOOKUP(B19,$Z$15:$AI$73,2,FALSE)/100))),"")</f>
        <v/>
      </c>
      <c r="E19" s="5" t="str">
        <f>IFERROR(IF($B$10=$U$12,IF($E$14=$U$10,VLOOKUP(B19,$Z$15:$AI$73,5,FALSE),IF($E$14=$U$9,((VLOOKUP(B19,$Z$15:$AI$73,5,FALSE)*0.1604)-1.037),"")),""),"")</f>
        <v/>
      </c>
      <c r="F19" s="5" t="str">
        <f>IFERROR(IF($B$10=$U$12,VLOOKUP(B19,$Z$15:$AI$73,8,FALSE),""),"")</f>
        <v/>
      </c>
      <c r="J19" s="38" t="s">
        <v>166</v>
      </c>
      <c r="K19">
        <f>D43</f>
        <v>0</v>
      </c>
      <c r="L19">
        <f>IF($E$14=$U$10,E43,IF($E$14=$U$9,IF(E43&gt;0,(E43+1.037)/0.1604,0),0))</f>
        <v>0</v>
      </c>
      <c r="M19" s="37">
        <f>F43</f>
        <v>0</v>
      </c>
      <c r="U19" s="4" t="s">
        <v>167</v>
      </c>
      <c r="V19">
        <f>IF(V17=2,'Milk production'!C17,0)</f>
        <v>0</v>
      </c>
      <c r="Z19" s="11" t="s">
        <v>168</v>
      </c>
      <c r="AA19" s="19">
        <v>91.1</v>
      </c>
      <c r="AB19" s="19">
        <v>80</v>
      </c>
      <c r="AC19" s="19">
        <v>93.3</v>
      </c>
      <c r="AD19" s="18">
        <v>66.590399002493768</v>
      </c>
      <c r="AE19" s="18">
        <v>38.144014962593516</v>
      </c>
      <c r="AF19" s="18">
        <v>91.804239401496261</v>
      </c>
      <c r="AG19" s="19">
        <v>9</v>
      </c>
      <c r="AH19" s="19">
        <v>4</v>
      </c>
      <c r="AI19" s="18">
        <v>15.4</v>
      </c>
    </row>
    <row r="20" spans="1:37" ht="18.95" customHeight="1">
      <c r="A20" t="s">
        <v>169</v>
      </c>
      <c r="B20" s="71"/>
      <c r="C20" s="71"/>
      <c r="D20" s="5">
        <f>C20</f>
        <v>0</v>
      </c>
      <c r="E20" s="71"/>
      <c r="F20" s="71"/>
      <c r="J20" s="38" t="s">
        <v>170</v>
      </c>
      <c r="K20">
        <f>D46</f>
        <v>0</v>
      </c>
      <c r="L20">
        <f>IF($E$14=$U$10,E46,IF($E$14=$U$9,IF(E46&gt;0,(E46+1.037)/0.1604,0),0))</f>
        <v>0</v>
      </c>
      <c r="M20" s="37">
        <f>F46</f>
        <v>0</v>
      </c>
      <c r="U20" s="4" t="s">
        <v>171</v>
      </c>
      <c r="V20">
        <f>'Milk production'!C6*100</f>
        <v>0</v>
      </c>
      <c r="Z20" s="11" t="s">
        <v>172</v>
      </c>
      <c r="AA20" s="19">
        <v>89.6</v>
      </c>
      <c r="AB20" s="19">
        <v>86.2</v>
      </c>
      <c r="AC20" s="19">
        <v>94.4</v>
      </c>
      <c r="AD20" s="18">
        <v>85.985660847880297</v>
      </c>
      <c r="AE20" s="18">
        <v>80.813591022443887</v>
      </c>
      <c r="AF20" s="18">
        <v>93.097256857855356</v>
      </c>
      <c r="AG20" s="19">
        <v>10.6</v>
      </c>
      <c r="AH20" s="19">
        <v>9.6</v>
      </c>
      <c r="AI20" s="18">
        <v>13.2</v>
      </c>
      <c r="AJ20" s="90"/>
      <c r="AK20" s="91"/>
    </row>
    <row r="21" spans="1:37" ht="18.95" hidden="1" customHeight="1">
      <c r="A21" t="s">
        <v>173</v>
      </c>
      <c r="B21" s="71"/>
      <c r="C21" s="71"/>
      <c r="D21" s="5">
        <f>SUM(D15:D20)</f>
        <v>0</v>
      </c>
      <c r="E21" s="89">
        <f>IF(ISERROR(SUMPRODUCT(D15:D20,E15:E20)/D21),0,(SUMPRODUCT(D15:D20,E15:E20)/D21))</f>
        <v>0</v>
      </c>
      <c r="F21" s="89">
        <f>IF(ISERROR(SUMPRODUCT(D15:D20,F15:F20)/D21),0,(SUMPRODUCT(D15:D20,F15:F20)/D21))</f>
        <v>0</v>
      </c>
      <c r="U21" s="4" t="s">
        <v>174</v>
      </c>
      <c r="V21">
        <f>'Milk production'!C7*100</f>
        <v>0</v>
      </c>
      <c r="Z21" s="11" t="s">
        <v>175</v>
      </c>
      <c r="AA21" s="19">
        <v>85.4</v>
      </c>
      <c r="AB21" s="19">
        <v>11.9</v>
      </c>
      <c r="AC21" s="19">
        <v>93.7</v>
      </c>
      <c r="AD21" s="18">
        <v>96.32980049875313</v>
      </c>
      <c r="AE21" s="18">
        <v>85.985660847880297</v>
      </c>
      <c r="AF21" s="18">
        <v>99</v>
      </c>
      <c r="AG21" s="19">
        <v>43.5</v>
      </c>
      <c r="AH21" s="19">
        <v>29.3</v>
      </c>
      <c r="AI21" s="18">
        <v>53.7</v>
      </c>
    </row>
    <row r="22" spans="1:37" ht="18.95" customHeight="1">
      <c r="A22" t="s">
        <v>176</v>
      </c>
      <c r="B22" s="71"/>
      <c r="C22" s="71"/>
      <c r="D22" s="88" t="str">
        <f>IFERROR(IF($C$14=$V$7,C22,(C22*(VLOOKUP(B22,$Z$15:$AI$73,2,FALSE)/100))),"")</f>
        <v/>
      </c>
      <c r="E22" s="5" t="str">
        <f>IFERROR(IF($B$10=$U$12,IF($E$14=$U$10,VLOOKUP(B22,$Z$15:$AI$73,5,FALSE),IF($E$14=$U$9,((VLOOKUP(B22,$Z$15:$AI$73,5,FALSE)*0.1604)-1.037),"")),""),"")</f>
        <v/>
      </c>
      <c r="F22" s="5" t="str">
        <f>IFERROR(IF($B$10=$U$12,VLOOKUP(B22,$Z$15:$AI$73,8,FALSE),""),"")</f>
        <v/>
      </c>
      <c r="U22" s="4" t="s">
        <v>177</v>
      </c>
      <c r="V22">
        <f>IF(V18=0,V19,(V18*(V20+V21)/100))</f>
        <v>0</v>
      </c>
      <c r="Z22" s="11" t="s">
        <v>178</v>
      </c>
      <c r="AA22" s="19">
        <v>90.8</v>
      </c>
      <c r="AB22" s="19">
        <v>86.4</v>
      </c>
      <c r="AC22" s="19">
        <v>92</v>
      </c>
      <c r="AD22" s="18">
        <v>64.004364089775564</v>
      </c>
      <c r="AE22" s="18">
        <v>54.306733167082292</v>
      </c>
      <c r="AF22" s="18">
        <v>90.511221945137152</v>
      </c>
      <c r="AG22" s="19">
        <v>34.1</v>
      </c>
      <c r="AH22" s="19">
        <v>20.399999999999999</v>
      </c>
      <c r="AI22" s="18">
        <v>39.1</v>
      </c>
    </row>
    <row r="23" spans="1:37" ht="18.95" customHeight="1">
      <c r="A23" t="s">
        <v>179</v>
      </c>
      <c r="B23" s="71"/>
      <c r="C23" s="71"/>
      <c r="D23" s="88" t="str">
        <f>IFERROR(IF($C$14=$V$7,C23,(C23*(VLOOKUP(B23,$Z$15:$AI$73,2,FALSE)/100))),"")</f>
        <v/>
      </c>
      <c r="E23" s="5" t="str">
        <f>IFERROR(IF($B$10=$U$12,IF($E$14=$U$10,VLOOKUP(B23,$Z$15:$AI$73,5,FALSE),IF($E$14=$U$9,((VLOOKUP(B23,$Z$15:$AI$73,5,FALSE)*0.1604)-1.037),"")),""),"")</f>
        <v/>
      </c>
      <c r="F23" s="5" t="str">
        <f>IFERROR(IF($B$10=$U$12,VLOOKUP(B23,$Z$15:$AI$73,8,FALSE),""),"")</f>
        <v/>
      </c>
      <c r="J23" s="38" t="s">
        <v>180</v>
      </c>
      <c r="K23">
        <f>SUM(K15:K20)</f>
        <v>0</v>
      </c>
      <c r="U23" s="4" t="s">
        <v>181</v>
      </c>
      <c r="V23" t="e">
        <f>IF(V18=0,(V19/((V20+V21)/100)),V18)</f>
        <v>#DIV/0!</v>
      </c>
      <c r="Z23" s="11" t="s">
        <v>182</v>
      </c>
      <c r="AA23" s="19">
        <v>89.4</v>
      </c>
      <c r="AB23" s="19">
        <v>80.3</v>
      </c>
      <c r="AC23" s="19">
        <v>96.9</v>
      </c>
      <c r="AD23" s="18">
        <v>84.046134663341647</v>
      </c>
      <c r="AE23" s="18">
        <v>74.995012468827937</v>
      </c>
      <c r="AF23" s="18">
        <v>87.278678304239406</v>
      </c>
      <c r="AG23" s="19">
        <v>11.4</v>
      </c>
      <c r="AH23" s="19">
        <v>6.6</v>
      </c>
      <c r="AI23" s="18">
        <v>18.8</v>
      </c>
    </row>
    <row r="24" spans="1:37">
      <c r="A24" t="s">
        <v>183</v>
      </c>
      <c r="B24" s="71"/>
      <c r="C24" s="71"/>
      <c r="D24" s="88" t="str">
        <f>IFERROR(IF($C$14=$V$7,C24,(C24*(VLOOKUP(B24,$Z$15:$AI$73,2,FALSE)/100))),"")</f>
        <v/>
      </c>
      <c r="E24" s="5" t="str">
        <f>IFERROR(IF($B$10=$U$12,IF($E$14=$U$10,VLOOKUP(B24,$Z$15:$AI$73,5,FALSE),IF($E$14=$U$9,((VLOOKUP(B24,$Z$15:$AI$73,5,FALSE)*0.1604)-1.037),"")),""),"")</f>
        <v/>
      </c>
      <c r="F24" s="5" t="str">
        <f>IFERROR(IF($B$10=$U$12,VLOOKUP(B24,$Z$15:$AI$73,8,FALSE),""),"")</f>
        <v/>
      </c>
      <c r="J24" s="38" t="s">
        <v>184</v>
      </c>
      <c r="K24">
        <f>IFERROR(V30,0)</f>
        <v>0</v>
      </c>
      <c r="U24" s="4" t="s">
        <v>185</v>
      </c>
      <c r="V24" t="e">
        <f>(V23*1.03)*(0.2534+0.1226*V20+0.0776*V21)</f>
        <v>#DIV/0!</v>
      </c>
      <c r="Z24" s="11" t="s">
        <v>186</v>
      </c>
      <c r="AA24" s="19">
        <v>29.1</v>
      </c>
      <c r="AB24" s="19">
        <v>8.5</v>
      </c>
      <c r="AC24" s="19">
        <v>87.7</v>
      </c>
      <c r="AD24" s="18">
        <v>86.632169576059852</v>
      </c>
      <c r="AE24" s="18">
        <v>69.176433915211973</v>
      </c>
      <c r="AF24" s="18">
        <v>93.743765586034911</v>
      </c>
      <c r="AG24" s="19">
        <v>15.9</v>
      </c>
      <c r="AH24" s="19">
        <v>7.2</v>
      </c>
      <c r="AI24" s="18">
        <v>29.6</v>
      </c>
    </row>
    <row r="25" spans="1:37" ht="30">
      <c r="A25" t="s">
        <v>187</v>
      </c>
      <c r="B25" s="71"/>
      <c r="C25" s="71"/>
      <c r="D25" s="88" t="str">
        <f>IFERROR(IF($C$14=$V$7,C25,(C25*(VLOOKUP(B25,$Z$15:$AI$73,2,FALSE)/100))),"")</f>
        <v/>
      </c>
      <c r="E25" s="5" t="str">
        <f>IFERROR(IF($B$10=$U$12,IF($E$14=$U$10,VLOOKUP(B25,$Z$15:$AI$73,5,FALSE),IF($E$14=$U$9,((VLOOKUP(B25,$Z$15:$AI$73,5,FALSE)*0.1604)-1.037),"")),""),"")</f>
        <v/>
      </c>
      <c r="F25" s="5" t="str">
        <f>IFERROR(IF($B$10=$U$12,VLOOKUP(B25,$Z$15:$AI$73,8,FALSE),""),"")</f>
        <v/>
      </c>
      <c r="J25" s="92" t="s">
        <v>188</v>
      </c>
      <c r="K25">
        <f>IFERROR(K24-K23,0)</f>
        <v>0</v>
      </c>
      <c r="U25" s="4" t="s">
        <v>189</v>
      </c>
      <c r="V25" t="e">
        <f>ROUND((V24/Livestock!B13/'Milk production'!C8),1)</f>
        <v>#DIV/0!</v>
      </c>
      <c r="Z25" s="11" t="s">
        <v>190</v>
      </c>
      <c r="AA25" s="19">
        <v>23.7</v>
      </c>
      <c r="AB25" s="19">
        <v>4.7</v>
      </c>
      <c r="AC25" s="19">
        <v>87.4</v>
      </c>
      <c r="AD25" s="18">
        <v>89.864713216957611</v>
      </c>
      <c r="AE25" s="18">
        <v>75.641521197007478</v>
      </c>
      <c r="AF25" s="18">
        <v>95.683291770573575</v>
      </c>
      <c r="AG25" s="19">
        <v>14.8</v>
      </c>
      <c r="AH25" s="19">
        <v>4.5999999999999996</v>
      </c>
      <c r="AI25" s="18">
        <v>26.7</v>
      </c>
    </row>
    <row r="26" spans="1:37" ht="18.95" customHeight="1">
      <c r="A26" t="s">
        <v>191</v>
      </c>
      <c r="B26" s="71"/>
      <c r="C26" s="71"/>
      <c r="D26" s="88" t="str">
        <f>IFERROR(IF($C$14=$V$7,C26,(C26*(VLOOKUP(B26,$Z$15:$AI$73,2,FALSE)/100))),"")</f>
        <v/>
      </c>
      <c r="E26" s="5" t="str">
        <f>IFERROR(IF($B$10=$U$12,IF($E$14=$U$10,VLOOKUP(B26,$Z$15:$AI$73,5,FALSE),IF($E$14=$U$9,((VLOOKUP(B26,$Z$15:$AI$73,5,FALSE)*0.1604)-1.037),"")),""),"")</f>
        <v/>
      </c>
      <c r="F26" s="5" t="str">
        <f>IFERROR(IF($B$10=$U$12,VLOOKUP(B26,$Z$15:$AI$73,8,FALSE),""),"")</f>
        <v/>
      </c>
      <c r="J26" s="80" t="s">
        <v>52</v>
      </c>
      <c r="K26" s="80" t="s">
        <v>192</v>
      </c>
      <c r="U26" s="4" t="s">
        <v>193</v>
      </c>
      <c r="V26" t="e">
        <f>ROUND((V23/Livestock!B13/'Milk production'!C8),1)</f>
        <v>#DIV/0!</v>
      </c>
      <c r="Z26" s="20" t="s">
        <v>194</v>
      </c>
      <c r="AA26" s="21">
        <v>89.4</v>
      </c>
      <c r="AB26" s="21">
        <v>80.2</v>
      </c>
      <c r="AC26" s="21">
        <v>92.9</v>
      </c>
      <c r="AD26" s="22">
        <v>84.692643391521187</v>
      </c>
      <c r="AE26" s="22">
        <v>67.883416458852864</v>
      </c>
      <c r="AF26" s="22">
        <v>91.157730673316706</v>
      </c>
      <c r="AG26" s="21">
        <v>12.9</v>
      </c>
      <c r="AH26" s="21">
        <v>7.4</v>
      </c>
      <c r="AI26" s="22">
        <v>22.7</v>
      </c>
    </row>
    <row r="27" spans="1:37" ht="18.95" customHeight="1">
      <c r="A27" t="s">
        <v>195</v>
      </c>
      <c r="B27" s="71"/>
      <c r="C27" s="71"/>
      <c r="D27" s="5">
        <f>C27</f>
        <v>0</v>
      </c>
      <c r="E27" s="71"/>
      <c r="F27" s="71"/>
      <c r="J27" s="80" t="s">
        <v>109</v>
      </c>
      <c r="K27" s="80" t="s">
        <v>196</v>
      </c>
      <c r="U27" s="4" t="s">
        <v>197</v>
      </c>
      <c r="V27" t="e">
        <f>(V26*((V20+V21)/100))</f>
        <v>#DIV/0!</v>
      </c>
    </row>
    <row r="28" spans="1:37" ht="18.95" hidden="1" customHeight="1">
      <c r="A28" t="s">
        <v>198</v>
      </c>
      <c r="B28" s="71"/>
      <c r="C28" s="71"/>
      <c r="D28" s="5">
        <f>SUM(D22:D27)</f>
        <v>0</v>
      </c>
      <c r="E28" s="89">
        <f>IF(ISERROR(SUMPRODUCT(D22:D27,E22:E27)/D28),0,(SUMPRODUCT(D22:D27,E22:E27)/D28))</f>
        <v>0</v>
      </c>
      <c r="F28" s="89">
        <f>IF(ISERROR(SUMPRODUCT(D22:D27,F22:F27)/D28),0,(SUMPRODUCT(D22:D27,F22:F27)/D28))</f>
        <v>0</v>
      </c>
      <c r="U28" s="4" t="s">
        <v>199</v>
      </c>
      <c r="V28" t="e">
        <f>((K15*L15)+(K16*L16)+(K17*L17)+(K18*L18)+(K19*L19)+(K20*L20))/K23</f>
        <v>#VALUE!</v>
      </c>
    </row>
    <row r="29" spans="1:37" ht="18.95" customHeight="1">
      <c r="A29" t="s">
        <v>200</v>
      </c>
      <c r="B29" s="71"/>
      <c r="C29" s="71"/>
      <c r="D29" s="88" t="str">
        <f>IFERROR(IF($C$14=$V$7,C29,(C29*(VLOOKUP(B29,$Z$15:$AI$73,2,FALSE)/100))),"")</f>
        <v/>
      </c>
      <c r="E29" s="5" t="str">
        <f>IFERROR(IF($B$10=$U$12,IF($E$14=$U$10,VLOOKUP(B29,$Z$15:$AI$73,5,FALSE),IF($E$14=$U$9,((VLOOKUP(B29,$Z$15:$AI$73,5,FALSE)*0.1604)-1.037),"")),""),"")</f>
        <v/>
      </c>
      <c r="F29" s="5" t="str">
        <f>IFERROR(IF($B$10=$U$12,VLOOKUP(B29,$Z$15:$AI$73,8,FALSE),""),"")</f>
        <v/>
      </c>
      <c r="U29" s="4" t="s">
        <v>201</v>
      </c>
      <c r="V29" t="e">
        <f>((K15*M15)+(K16*M16)+(K17*M17)+(K18*M18)+(K19*M19)+(K20*M20))/K23</f>
        <v>#VALUE!</v>
      </c>
      <c r="Z29" s="23" t="s">
        <v>144</v>
      </c>
      <c r="AA29" s="23">
        <v>25</v>
      </c>
      <c r="AB29" s="23"/>
      <c r="AC29" s="23"/>
      <c r="AD29" s="23">
        <v>75</v>
      </c>
      <c r="AE29" s="23"/>
      <c r="AF29" s="23"/>
      <c r="AG29" s="23">
        <v>20</v>
      </c>
      <c r="AH29" s="23"/>
      <c r="AI29" s="23"/>
    </row>
    <row r="30" spans="1:37" ht="18.95" customHeight="1">
      <c r="A30" t="s">
        <v>202</v>
      </c>
      <c r="B30" s="71"/>
      <c r="C30" s="71"/>
      <c r="D30" s="88" t="str">
        <f>IFERROR(IF($C$14=$V$7,C30,(C30*(VLOOKUP(B30,$Z$15:$AI$73,2,FALSE)/100))),"")</f>
        <v/>
      </c>
      <c r="E30" s="5" t="str">
        <f>IFERROR(IF($B$10=$U$12,IF($E$14=$U$10,VLOOKUP(B30,$Z$15:$AI$73,5,FALSE),IF($E$14=$U$9,((VLOOKUP(B30,$Z$15:$AI$73,5,FALSE)*0.1604)-1.037),"")),""),"")</f>
        <v/>
      </c>
      <c r="F30" s="5" t="str">
        <f>IFERROR(IF($B$10=$U$12,VLOOKUP(B30,$Z$15:$AI$73,8,FALSE),""),"")</f>
        <v/>
      </c>
      <c r="U30" s="4" t="s">
        <v>203</v>
      </c>
      <c r="V30" t="e">
        <f>ROUND((1.185+(0.00454*Livestock!B16)-(0.0000026*(Livestock!B16)^2)+((0.315*0)))^2*1.1+((Diet!V26*'Milk production'!C8/365)*3.054/0.6/(0.00795*Diet!V28-0.0014)/18.4),1)</f>
        <v>#DIV/0!</v>
      </c>
      <c r="Z30" s="24" t="s">
        <v>204</v>
      </c>
      <c r="AA30" s="25" t="s">
        <v>153</v>
      </c>
      <c r="AB30" s="126" t="s">
        <v>154</v>
      </c>
      <c r="AC30" s="127"/>
      <c r="AD30" s="25" t="s">
        <v>153</v>
      </c>
      <c r="AE30" s="126" t="s">
        <v>154</v>
      </c>
      <c r="AF30" s="127"/>
      <c r="AG30" s="25" t="s">
        <v>153</v>
      </c>
      <c r="AH30" s="126" t="s">
        <v>154</v>
      </c>
      <c r="AI30" s="127"/>
    </row>
    <row r="31" spans="1:37" ht="18.95" customHeight="1">
      <c r="A31" t="s">
        <v>205</v>
      </c>
      <c r="B31" s="71"/>
      <c r="C31" s="71"/>
      <c r="D31" s="88" t="str">
        <f>IFERROR(IF($C$14=$V$7,C31,(C31*(VLOOKUP(B31,$Z$15:$AI$73,2,FALSE)/100))),"")</f>
        <v/>
      </c>
      <c r="E31" s="5" t="str">
        <f>IFERROR(IF($B$10=$U$12,IF($E$14=$U$10,VLOOKUP(B31,$Z$15:$AI$73,5,FALSE),IF($E$14=$U$9,((VLOOKUP(B31,$Z$15:$AI$73,5,FALSE)*0.1604)-1.037),"")),""),"")</f>
        <v/>
      </c>
      <c r="F31" s="5" t="str">
        <f>IFERROR(IF($B$10=$U$12,VLOOKUP(B31,$Z$15:$AI$73,8,FALSE),""),"")</f>
        <v/>
      </c>
      <c r="Z31" s="26" t="s">
        <v>206</v>
      </c>
      <c r="AA31" s="16">
        <v>39</v>
      </c>
      <c r="AB31" s="16">
        <v>20.9</v>
      </c>
      <c r="AC31" s="17">
        <v>64.3</v>
      </c>
      <c r="AD31" s="16">
        <v>58.832294264339147</v>
      </c>
      <c r="AE31" s="16">
        <v>35.557980049875312</v>
      </c>
      <c r="AF31" s="16">
        <v>74.348503740648383</v>
      </c>
      <c r="AG31" s="16">
        <v>10.7</v>
      </c>
      <c r="AH31" s="16">
        <v>5.5</v>
      </c>
      <c r="AI31" s="17">
        <v>22.9</v>
      </c>
    </row>
    <row r="32" spans="1:37" ht="18.95" customHeight="1">
      <c r="A32" t="s">
        <v>207</v>
      </c>
      <c r="B32" s="71"/>
      <c r="C32" s="71"/>
      <c r="D32" s="88" t="str">
        <f>IFERROR(IF($C$14=$V$7,C32,(C32*(VLOOKUP(B32,$Z$15:$AI$73,2,FALSE)/100))),"")</f>
        <v/>
      </c>
      <c r="E32" s="5" t="str">
        <f>IFERROR(IF($B$10=$U$12,IF($E$14=$U$10,VLOOKUP(B32,$Z$15:$AI$73,5,FALSE),IF($E$14=$U$9,((VLOOKUP(B32,$Z$15:$AI$73,5,FALSE)*0.1604)-1.037),"")),""),"")</f>
        <v/>
      </c>
      <c r="F32" s="5" t="str">
        <f>IFERROR(IF($B$10=$U$12,VLOOKUP(B32,$Z$15:$AI$73,8,FALSE),""),"")</f>
        <v/>
      </c>
      <c r="Z32" s="11" t="s">
        <v>208</v>
      </c>
      <c r="AA32" s="19">
        <v>41.9</v>
      </c>
      <c r="AB32" s="19">
        <v>20.9</v>
      </c>
      <c r="AC32" s="18">
        <v>79.5</v>
      </c>
      <c r="AD32" s="19">
        <v>62.064837905236914</v>
      </c>
      <c r="AE32" s="19">
        <v>52.367206982543642</v>
      </c>
      <c r="AF32" s="19">
        <v>68.529925187032418</v>
      </c>
      <c r="AG32" s="19">
        <v>19.3</v>
      </c>
      <c r="AH32" s="19">
        <v>12.4</v>
      </c>
      <c r="AI32" s="18">
        <v>27.2</v>
      </c>
    </row>
    <row r="33" spans="1:35" ht="18.95" customHeight="1">
      <c r="A33" t="s">
        <v>209</v>
      </c>
      <c r="B33" s="71"/>
      <c r="C33" s="71"/>
      <c r="D33" s="88" t="str">
        <f>IFERROR(IF($C$14=$V$7,C33,(C33*(VLOOKUP(B33,$Z$15:$AI$73,2,FALSE)/100))),"")</f>
        <v/>
      </c>
      <c r="E33" s="5" t="str">
        <f>IFERROR(IF($B$10=$U$12,IF($E$14=$U$10,VLOOKUP(B33,$Z$15:$AI$73,5,FALSE),IF($E$14=$U$9,((VLOOKUP(B33,$Z$15:$AI$73,5,FALSE)*0.1604)-1.037),"")),""),"")</f>
        <v/>
      </c>
      <c r="F33" s="5" t="str">
        <f>IFERROR(IF($B$10=$U$12,VLOOKUP(B33,$Z$15:$AI$73,8,FALSE),""),"")</f>
        <v/>
      </c>
      <c r="Z33" s="11" t="s">
        <v>210</v>
      </c>
      <c r="AA33" s="19">
        <v>43.2</v>
      </c>
      <c r="AB33" s="19">
        <v>17.100000000000001</v>
      </c>
      <c r="AC33" s="18">
        <v>89.3</v>
      </c>
      <c r="AD33" s="19">
        <v>60.125311720698257</v>
      </c>
      <c r="AE33" s="19">
        <v>31.032418952618457</v>
      </c>
      <c r="AF33" s="19">
        <v>77.581047381546142</v>
      </c>
      <c r="AG33" s="19">
        <v>13.2</v>
      </c>
      <c r="AH33" s="19">
        <v>5.0999999999999996</v>
      </c>
      <c r="AI33" s="18">
        <v>26.6</v>
      </c>
    </row>
    <row r="34" spans="1:35" ht="18.95" customHeight="1">
      <c r="A34" t="s">
        <v>211</v>
      </c>
      <c r="B34" s="71"/>
      <c r="C34" s="71"/>
      <c r="D34" s="5">
        <f>C34</f>
        <v>0</v>
      </c>
      <c r="E34" s="71"/>
      <c r="F34" s="71"/>
      <c r="Z34" s="11" t="s">
        <v>212</v>
      </c>
      <c r="AA34" s="19">
        <v>42.1</v>
      </c>
      <c r="AB34" s="19">
        <v>13.7</v>
      </c>
      <c r="AC34" s="18">
        <v>68.3</v>
      </c>
      <c r="AD34" s="19">
        <v>60.771820448877811</v>
      </c>
      <c r="AE34" s="19">
        <v>38.144014962593516</v>
      </c>
      <c r="AF34" s="19">
        <v>73.701995012468828</v>
      </c>
      <c r="AG34" s="19">
        <v>16</v>
      </c>
      <c r="AH34" s="19">
        <v>7.3</v>
      </c>
      <c r="AI34" s="18">
        <v>28.6</v>
      </c>
    </row>
    <row r="35" spans="1:35" ht="18.95" hidden="1" customHeight="1">
      <c r="A35" t="s">
        <v>213</v>
      </c>
      <c r="B35" s="71"/>
      <c r="C35" s="71"/>
      <c r="D35" s="5">
        <f>SUM(D29:D34)</f>
        <v>0</v>
      </c>
      <c r="E35" s="89">
        <f>IF(ISERROR(SUMPRODUCT(D29:D34,E29:E34)/D35),0,(SUMPRODUCT(D29:D34,E29:E34)/D35))</f>
        <v>0</v>
      </c>
      <c r="F35" s="89">
        <f>IF(ISERROR(SUMPRODUCT(D29:D34,F29:F34)/D35),0,(SUMPRODUCT(D29:D34,F29:F34)/D35))</f>
        <v>0</v>
      </c>
      <c r="Z35" s="11" t="s">
        <v>214</v>
      </c>
      <c r="AA35" s="19">
        <v>86.4</v>
      </c>
      <c r="AB35" s="19">
        <v>45.2</v>
      </c>
      <c r="AC35" s="18">
        <v>95.9</v>
      </c>
      <c r="AD35" s="19">
        <v>56.892768079800504</v>
      </c>
      <c r="AE35" s="19">
        <v>33.618453865336654</v>
      </c>
      <c r="AF35" s="19">
        <v>73.701995012468828</v>
      </c>
      <c r="AG35" s="19">
        <v>14.5</v>
      </c>
      <c r="AH35" s="19">
        <v>4.0999999999999996</v>
      </c>
      <c r="AI35" s="18">
        <v>25.4</v>
      </c>
    </row>
    <row r="36" spans="1:35" ht="18.95" customHeight="1">
      <c r="A36" t="s">
        <v>215</v>
      </c>
      <c r="B36" s="71"/>
      <c r="C36" s="71"/>
      <c r="D36" s="88" t="str">
        <f>IFERROR(IF($C$14=$V$7,C36,(C36*(VLOOKUP(B36,$Z$15:$AI$73,2,FALSE)/100))),"")</f>
        <v/>
      </c>
      <c r="E36" s="5" t="str">
        <f>IFERROR(IF($B$10=$U$12,IF($E$14=$U$10,VLOOKUP(B36,$Z$15:$AI$73,5,FALSE),IF($E$14=$U$9,((VLOOKUP(B36,$Z$15:$AI$73,5,FALSE)*0.1604)-1.037),"")),""),"")</f>
        <v/>
      </c>
      <c r="F36" s="5" t="str">
        <f>IFERROR(IF($B$10=$U$12,VLOOKUP(B36,$Z$15:$AI$73,8,FALSE),""),"")</f>
        <v/>
      </c>
      <c r="Z36" s="11" t="s">
        <v>216</v>
      </c>
      <c r="AA36" s="19">
        <v>49.5</v>
      </c>
      <c r="AB36" s="19">
        <v>15.8</v>
      </c>
      <c r="AC36" s="18">
        <v>87.7</v>
      </c>
      <c r="AD36" s="19">
        <v>60.771820448877811</v>
      </c>
      <c r="AE36" s="19">
        <v>31.032418952618457</v>
      </c>
      <c r="AF36" s="19">
        <v>70.469451371571083</v>
      </c>
      <c r="AG36" s="19">
        <v>20</v>
      </c>
      <c r="AH36" s="19">
        <v>5.3</v>
      </c>
      <c r="AI36" s="18">
        <v>32.1</v>
      </c>
    </row>
    <row r="37" spans="1:35" ht="18.95" customHeight="1">
      <c r="A37" t="s">
        <v>217</v>
      </c>
      <c r="B37" s="71"/>
      <c r="C37" s="71"/>
      <c r="D37" s="88" t="str">
        <f>IFERROR(IF($C$14=$V$7,C37,(C37*(VLOOKUP(B37,$Z$15:$AI$73,2,FALSE)/100))),"")</f>
        <v/>
      </c>
      <c r="E37" s="5" t="str">
        <f>IFERROR(IF($B$10=$U$12,IF($E$14=$U$10,VLOOKUP(B37,$Z$15:$AI$73,5,FALSE),IF($E$14=$U$9,((VLOOKUP(B37,$Z$15:$AI$73,5,FALSE)*0.1604)-1.037),"")),""),"")</f>
        <v/>
      </c>
      <c r="F37" s="5" t="str">
        <f>IFERROR(IF($B$10=$U$12,VLOOKUP(B37,$Z$15:$AI$73,8,FALSE),""),"")</f>
        <v/>
      </c>
      <c r="Z37" s="11" t="s">
        <v>218</v>
      </c>
      <c r="AA37" s="19">
        <v>30.9</v>
      </c>
      <c r="AB37" s="19">
        <v>9.1999999999999993</v>
      </c>
      <c r="AC37" s="18">
        <v>84.5</v>
      </c>
      <c r="AD37" s="19">
        <v>68.529925187032418</v>
      </c>
      <c r="AE37" s="19">
        <v>32.325436408977559</v>
      </c>
      <c r="AF37" s="19">
        <v>84.046134663341647</v>
      </c>
      <c r="AG37" s="19">
        <v>7.7</v>
      </c>
      <c r="AH37" s="19">
        <v>3.4</v>
      </c>
      <c r="AI37" s="18">
        <v>17.100000000000001</v>
      </c>
    </row>
    <row r="38" spans="1:35" ht="18.95" customHeight="1">
      <c r="A38" t="s">
        <v>219</v>
      </c>
      <c r="B38" s="71"/>
      <c r="C38" s="71"/>
      <c r="D38" s="88" t="str">
        <f>IFERROR(IF($C$14=$V$7,C38,(C38*(VLOOKUP(B38,$Z$15:$AI$73,2,FALSE)/100))),"")</f>
        <v/>
      </c>
      <c r="E38" s="5" t="str">
        <f>IFERROR(IF($B$10=$U$12,IF($E$14=$U$10,VLOOKUP(B38,$Z$15:$AI$73,5,FALSE),IF($E$14=$U$9,((VLOOKUP(B38,$Z$15:$AI$73,5,FALSE)*0.1604)-1.037),"")),""),"")</f>
        <v/>
      </c>
      <c r="F38" s="5" t="str">
        <f>IFERROR(IF($B$10=$U$12,VLOOKUP(B38,$Z$15:$AI$73,8,FALSE),""),"")</f>
        <v/>
      </c>
      <c r="Z38" s="11" t="s">
        <v>220</v>
      </c>
      <c r="AA38" s="19">
        <v>40.9</v>
      </c>
      <c r="AB38" s="19">
        <v>18.100000000000001</v>
      </c>
      <c r="AC38" s="18">
        <v>82.2</v>
      </c>
      <c r="AD38" s="19">
        <v>56.246259351620942</v>
      </c>
      <c r="AE38" s="19">
        <v>38.144014962593516</v>
      </c>
      <c r="AF38" s="19">
        <v>72.408977556109718</v>
      </c>
      <c r="AG38" s="19">
        <v>9.8000000000000007</v>
      </c>
      <c r="AH38" s="19">
        <v>3.8</v>
      </c>
      <c r="AI38" s="18">
        <v>19.399999999999999</v>
      </c>
    </row>
    <row r="39" spans="1:35" ht="18.95" customHeight="1">
      <c r="A39" t="s">
        <v>221</v>
      </c>
      <c r="B39" s="71"/>
      <c r="C39" s="71"/>
      <c r="D39" s="88" t="str">
        <f>IFERROR(IF($C$14=$V$7,C39,(C39*(VLOOKUP(B39,$Z$15:$AI$73,2,FALSE)/100))),"")</f>
        <v/>
      </c>
      <c r="E39" s="5" t="str">
        <f>IFERROR(IF($B$10=$U$12,IF($E$14=$U$10,VLOOKUP(B39,$Z$15:$AI$73,5,FALSE),IF($E$14=$U$9,((VLOOKUP(B39,$Z$15:$AI$73,5,FALSE)*0.1604)-1.037),"")),""),"")</f>
        <v/>
      </c>
      <c r="F39" s="5" t="str">
        <f>IFERROR(IF($B$10=$U$12,VLOOKUP(B39,$Z$15:$AI$73,8,FALSE),""),"")</f>
        <v/>
      </c>
      <c r="Z39" s="11" t="s">
        <v>222</v>
      </c>
      <c r="AA39" s="19">
        <v>43.1</v>
      </c>
      <c r="AB39" s="19">
        <v>10.9</v>
      </c>
      <c r="AC39" s="18">
        <v>87.6</v>
      </c>
      <c r="AD39" s="19">
        <v>60.771820448877811</v>
      </c>
      <c r="AE39" s="19">
        <v>14.223192019950126</v>
      </c>
      <c r="AF39" s="19">
        <v>76.288029925187033</v>
      </c>
      <c r="AG39" s="19">
        <v>14.1</v>
      </c>
      <c r="AH39" s="19">
        <v>3.2</v>
      </c>
      <c r="AI39" s="18">
        <v>27.3</v>
      </c>
    </row>
    <row r="40" spans="1:35" ht="18.95" customHeight="1">
      <c r="A40" t="s">
        <v>223</v>
      </c>
      <c r="B40" s="71"/>
      <c r="C40" s="71"/>
      <c r="D40" s="88" t="str">
        <f>IFERROR(IF($C$14=$V$7,C40,(C40*(VLOOKUP(B40,$Z$15:$AI$73,2,FALSE)/100))),"")</f>
        <v/>
      </c>
      <c r="E40" s="5" t="str">
        <f>IFERROR(IF($B$10=$U$12,IF($E$14=$U$10,VLOOKUP(B40,$Z$15:$AI$73,5,FALSE),IF($E$14=$U$9,((VLOOKUP(B40,$Z$15:$AI$73,5,FALSE)*0.1604)-1.037),"")),""),"")</f>
        <v/>
      </c>
      <c r="F40" s="5" t="str">
        <f>IFERROR(IF($B$10=$U$12,VLOOKUP(B40,$Z$15:$AI$73,8,FALSE),""),"")</f>
        <v/>
      </c>
      <c r="Z40" s="11" t="s">
        <v>224</v>
      </c>
      <c r="AA40" s="19">
        <v>42.9</v>
      </c>
      <c r="AB40" s="19">
        <v>23.7</v>
      </c>
      <c r="AC40" s="18">
        <v>81.900000000000006</v>
      </c>
      <c r="AD40" s="19">
        <v>64.004364089775564</v>
      </c>
      <c r="AE40" s="19">
        <v>53.01371571072319</v>
      </c>
      <c r="AF40" s="19">
        <v>72.408977556109718</v>
      </c>
      <c r="AG40" s="19">
        <v>17.600000000000001</v>
      </c>
      <c r="AH40" s="19">
        <v>8</v>
      </c>
      <c r="AI40" s="18">
        <v>23.4</v>
      </c>
    </row>
    <row r="41" spans="1:35" ht="18.95" customHeight="1">
      <c r="A41" t="s">
        <v>225</v>
      </c>
      <c r="B41" s="71"/>
      <c r="C41" s="71"/>
      <c r="D41" s="5"/>
      <c r="E41" s="71"/>
      <c r="F41" s="71"/>
      <c r="Z41" s="11" t="s">
        <v>226</v>
      </c>
      <c r="AA41" s="19">
        <v>37.1</v>
      </c>
      <c r="AB41" s="19">
        <v>20.6</v>
      </c>
      <c r="AC41" s="18">
        <v>59.9</v>
      </c>
      <c r="AD41" s="19">
        <v>61.418329177057359</v>
      </c>
      <c r="AE41" s="19">
        <v>33.618453865336654</v>
      </c>
      <c r="AF41" s="19">
        <v>67.883416458852864</v>
      </c>
      <c r="AG41" s="19">
        <v>18.8</v>
      </c>
      <c r="AH41" s="19">
        <v>12.6</v>
      </c>
      <c r="AI41" s="18">
        <v>26.9</v>
      </c>
    </row>
    <row r="42" spans="1:35" ht="18.95" customHeight="1">
      <c r="A42" t="s">
        <v>227</v>
      </c>
      <c r="B42" s="71"/>
      <c r="C42" s="71"/>
      <c r="D42" s="5"/>
      <c r="E42" s="71"/>
      <c r="F42" s="71"/>
      <c r="Z42" s="11" t="s">
        <v>228</v>
      </c>
      <c r="AA42" s="19">
        <v>42.9</v>
      </c>
      <c r="AB42" s="19">
        <v>20.100000000000001</v>
      </c>
      <c r="AC42" s="18">
        <v>71</v>
      </c>
      <c r="AD42" s="19">
        <v>58.832294264339147</v>
      </c>
      <c r="AE42" s="19">
        <v>45.902119700748131</v>
      </c>
      <c r="AF42" s="19">
        <v>72.408977556109718</v>
      </c>
      <c r="AG42" s="19">
        <v>10.8</v>
      </c>
      <c r="AH42" s="19">
        <v>4</v>
      </c>
      <c r="AI42" s="18">
        <v>24</v>
      </c>
    </row>
    <row r="43" spans="1:35" ht="18.95" hidden="1" customHeight="1">
      <c r="A43" t="s">
        <v>229</v>
      </c>
      <c r="B43" s="71"/>
      <c r="C43" s="71"/>
      <c r="D43" s="5">
        <f>SUM(D36:D42)</f>
        <v>0</v>
      </c>
      <c r="E43" s="89">
        <f>IF(ISERROR(SUMPRODUCT(D37:D42,E37:E42)/D43),0,(SUMPRODUCT(D37:D42,E37:E42)/D43))</f>
        <v>0</v>
      </c>
      <c r="F43" s="89">
        <f>IF(ISERROR(SUMPRODUCT(D37:D42,F37:F42)/D43),0,(SUMPRODUCT(D37:D42,F37:F42)/D43))</f>
        <v>0</v>
      </c>
      <c r="Z43" s="11" t="s">
        <v>230</v>
      </c>
      <c r="AA43" s="19">
        <v>44.9</v>
      </c>
      <c r="AB43" s="19">
        <v>27.5</v>
      </c>
      <c r="AC43" s="18">
        <v>69.099999999999994</v>
      </c>
      <c r="AD43" s="19">
        <v>56.892768079800504</v>
      </c>
      <c r="AE43" s="19">
        <v>29.739401496259347</v>
      </c>
      <c r="AF43" s="19">
        <v>69.176433915211973</v>
      </c>
      <c r="AG43" s="19">
        <v>10</v>
      </c>
      <c r="AH43" s="19">
        <v>6.5</v>
      </c>
      <c r="AI43" s="18">
        <v>16</v>
      </c>
    </row>
    <row r="44" spans="1:35" ht="18.95" customHeight="1">
      <c r="A44" t="s">
        <v>231</v>
      </c>
      <c r="B44" s="71"/>
      <c r="C44" s="71"/>
      <c r="D44" s="5"/>
      <c r="E44" s="5"/>
      <c r="F44" s="5"/>
      <c r="Z44" s="27"/>
      <c r="AA44" s="28"/>
      <c r="AB44" s="28"/>
      <c r="AC44" s="28"/>
      <c r="AD44" s="28"/>
      <c r="AE44" s="28"/>
      <c r="AF44" s="28"/>
      <c r="AG44" s="28"/>
      <c r="AH44" s="28"/>
      <c r="AI44" s="29"/>
    </row>
    <row r="45" spans="1:35" ht="18.95" customHeight="1">
      <c r="A45" t="s">
        <v>232</v>
      </c>
      <c r="B45" s="71"/>
      <c r="C45" s="71"/>
      <c r="D45" s="5"/>
      <c r="E45" s="5"/>
      <c r="F45" s="5"/>
      <c r="Z45" s="24" t="s">
        <v>233</v>
      </c>
      <c r="AA45" s="25" t="s">
        <v>153</v>
      </c>
      <c r="AB45" s="126" t="s">
        <v>154</v>
      </c>
      <c r="AC45" s="127"/>
      <c r="AD45" s="25" t="s">
        <v>153</v>
      </c>
      <c r="AE45" s="126" t="s">
        <v>154</v>
      </c>
      <c r="AF45" s="127"/>
      <c r="AG45" s="25" t="s">
        <v>153</v>
      </c>
      <c r="AH45" s="126" t="s">
        <v>154</v>
      </c>
      <c r="AI45" s="127"/>
    </row>
    <row r="46" spans="1:35" ht="15.75" hidden="1">
      <c r="A46" t="s">
        <v>234</v>
      </c>
      <c r="B46" s="72"/>
      <c r="C46" s="72"/>
      <c r="D46">
        <f>SUM(D44:D45)</f>
        <v>0</v>
      </c>
      <c r="E46" s="36">
        <f>IF(ISERROR(SUMPRODUCT(D44:D45,E44:E45)/D46),0,(SUMPRODUCT(D44:D45,E44:E45)/D46))</f>
        <v>0</v>
      </c>
      <c r="F46" s="36">
        <f>IF(ISERROR(SUMPRODUCT(D40:D45,F40:F45)/D46),0,(SUMPRODUCT(D40:D45,F40:F45)/D46))</f>
        <v>0</v>
      </c>
      <c r="Z46" s="11" t="s">
        <v>235</v>
      </c>
      <c r="AA46" s="19">
        <v>87</v>
      </c>
      <c r="AB46" s="19">
        <v>66.099999999999994</v>
      </c>
      <c r="AC46" s="18">
        <v>93.7</v>
      </c>
      <c r="AD46" s="19">
        <v>56.892768079800504</v>
      </c>
      <c r="AE46" s="19">
        <v>27.153366583541146</v>
      </c>
      <c r="AF46" s="19">
        <v>72.408977556109718</v>
      </c>
      <c r="AG46" s="19">
        <v>8.1999999999999993</v>
      </c>
      <c r="AH46" s="19">
        <v>1.2</v>
      </c>
      <c r="AI46" s="18">
        <v>14.6</v>
      </c>
    </row>
    <row r="47" spans="1:35">
      <c r="Z47" s="11" t="s">
        <v>236</v>
      </c>
      <c r="AA47" s="19">
        <v>89.3</v>
      </c>
      <c r="AB47" s="19">
        <v>73.400000000000006</v>
      </c>
      <c r="AC47" s="18">
        <v>93.6</v>
      </c>
      <c r="AD47" s="19">
        <v>42.023067331670823</v>
      </c>
      <c r="AE47" s="19">
        <v>14.223192019950126</v>
      </c>
      <c r="AF47" s="19">
        <v>54.95324189526184</v>
      </c>
      <c r="AG47" s="19">
        <v>2.8</v>
      </c>
      <c r="AH47" s="19">
        <v>0.2</v>
      </c>
      <c r="AI47" s="18">
        <v>28.8</v>
      </c>
    </row>
    <row r="48" spans="1:35">
      <c r="Z48" s="11" t="s">
        <v>237</v>
      </c>
      <c r="AA48" s="19">
        <v>86.6</v>
      </c>
      <c r="AB48" s="19">
        <v>61.3</v>
      </c>
      <c r="AC48" s="18">
        <v>93.2</v>
      </c>
      <c r="AD48" s="19">
        <v>57.539276807980059</v>
      </c>
      <c r="AE48" s="19">
        <v>40.083541147132166</v>
      </c>
      <c r="AF48" s="19">
        <v>72.408977556109718</v>
      </c>
      <c r="AG48" s="19">
        <v>17.600000000000001</v>
      </c>
      <c r="AH48" s="19">
        <v>6.3</v>
      </c>
      <c r="AI48" s="18">
        <v>26.1</v>
      </c>
    </row>
    <row r="49" spans="26:35">
      <c r="Z49" s="11" t="s">
        <v>238</v>
      </c>
      <c r="AA49" s="19">
        <v>86.3</v>
      </c>
      <c r="AB49" s="19">
        <v>51.9</v>
      </c>
      <c r="AC49" s="18">
        <v>94</v>
      </c>
      <c r="AD49" s="19">
        <v>51.720698254364088</v>
      </c>
      <c r="AE49" s="19">
        <v>31.678927680798004</v>
      </c>
      <c r="AF49" s="19">
        <v>67.883416458852864</v>
      </c>
      <c r="AG49" s="19">
        <v>8</v>
      </c>
      <c r="AH49" s="19">
        <v>0.7</v>
      </c>
      <c r="AI49" s="18">
        <v>17.7</v>
      </c>
    </row>
    <row r="50" spans="26:35">
      <c r="Z50" s="11" t="s">
        <v>239</v>
      </c>
      <c r="AA50" s="19">
        <v>87.8</v>
      </c>
      <c r="AB50" s="19">
        <v>36</v>
      </c>
      <c r="AC50" s="18">
        <v>96.1</v>
      </c>
      <c r="AD50" s="19">
        <v>60.125311720698257</v>
      </c>
      <c r="AE50" s="19">
        <v>34.264962593516209</v>
      </c>
      <c r="AF50" s="19">
        <v>73.055486284289287</v>
      </c>
      <c r="AG50" s="19">
        <v>18.899999999999999</v>
      </c>
      <c r="AH50" s="19">
        <v>5.7</v>
      </c>
      <c r="AI50" s="18">
        <v>29.7</v>
      </c>
    </row>
    <row r="51" spans="26:35">
      <c r="Z51" s="11" t="s">
        <v>240</v>
      </c>
      <c r="AA51" s="19">
        <v>86.1</v>
      </c>
      <c r="AB51" s="19">
        <v>68.2</v>
      </c>
      <c r="AC51" s="18">
        <v>93.4</v>
      </c>
      <c r="AD51" s="19">
        <v>36.850997506234414</v>
      </c>
      <c r="AE51" s="19">
        <v>27.799875311720697</v>
      </c>
      <c r="AF51" s="19">
        <v>43.962593516209481</v>
      </c>
      <c r="AG51" s="19">
        <v>8.9</v>
      </c>
      <c r="AH51" s="19">
        <v>5.9</v>
      </c>
      <c r="AI51" s="18">
        <v>14.1</v>
      </c>
    </row>
    <row r="52" spans="26:35">
      <c r="Z52" s="11" t="s">
        <v>241</v>
      </c>
      <c r="AA52" s="19">
        <v>88.9</v>
      </c>
      <c r="AB52" s="19">
        <v>40.200000000000003</v>
      </c>
      <c r="AC52" s="18">
        <v>96.4</v>
      </c>
      <c r="AD52" s="19">
        <v>54.306733167082292</v>
      </c>
      <c r="AE52" s="19">
        <v>29.092892768079796</v>
      </c>
      <c r="AF52" s="19">
        <v>73.055486284289287</v>
      </c>
      <c r="AG52" s="19">
        <v>6.9</v>
      </c>
      <c r="AH52" s="19">
        <v>1.1000000000000001</v>
      </c>
      <c r="AI52" s="18">
        <v>16.3</v>
      </c>
    </row>
    <row r="53" spans="26:35">
      <c r="Z53" s="11" t="s">
        <v>242</v>
      </c>
      <c r="AA53" s="19">
        <v>89.4</v>
      </c>
      <c r="AB53" s="19">
        <v>80.2</v>
      </c>
      <c r="AC53" s="18">
        <v>93.8</v>
      </c>
      <c r="AD53" s="19">
        <v>40.083541147132166</v>
      </c>
      <c r="AE53" s="19">
        <v>27.799875311720697</v>
      </c>
      <c r="AF53" s="19">
        <v>64.650872817955118</v>
      </c>
      <c r="AG53" s="19">
        <v>2.8</v>
      </c>
      <c r="AH53" s="19">
        <v>0.1</v>
      </c>
      <c r="AI53" s="18">
        <v>11.9</v>
      </c>
    </row>
    <row r="54" spans="26:35">
      <c r="Z54" s="11" t="s">
        <v>243</v>
      </c>
      <c r="AA54" s="19">
        <v>86.2</v>
      </c>
      <c r="AB54" s="19">
        <v>48.6</v>
      </c>
      <c r="AC54" s="18">
        <v>95.5</v>
      </c>
      <c r="AD54" s="19">
        <v>54.306733167082292</v>
      </c>
      <c r="AE54" s="19">
        <v>34.264962593516209</v>
      </c>
      <c r="AF54" s="19">
        <v>72.408977556109718</v>
      </c>
      <c r="AG54" s="19">
        <v>10.8</v>
      </c>
      <c r="AH54" s="19">
        <v>1.7</v>
      </c>
      <c r="AI54" s="18">
        <v>30</v>
      </c>
    </row>
    <row r="55" spans="26:35">
      <c r="Z55" s="11" t="s">
        <v>244</v>
      </c>
      <c r="AA55" s="19">
        <v>85.6</v>
      </c>
      <c r="AB55" s="19">
        <v>67.8</v>
      </c>
      <c r="AC55" s="18">
        <v>93.5</v>
      </c>
      <c r="AD55" s="19">
        <v>62.064837905236914</v>
      </c>
      <c r="AE55" s="19">
        <v>45.255610972568576</v>
      </c>
      <c r="AF55" s="19">
        <v>75.641521197007478</v>
      </c>
      <c r="AG55" s="19">
        <v>16.2</v>
      </c>
      <c r="AH55" s="19">
        <v>5.3</v>
      </c>
      <c r="AI55" s="18">
        <v>23.3</v>
      </c>
    </row>
    <row r="56" spans="26:35">
      <c r="Z56" s="11" t="s">
        <v>245</v>
      </c>
      <c r="AA56" s="19">
        <v>85.2</v>
      </c>
      <c r="AB56" s="19">
        <v>52.2</v>
      </c>
      <c r="AC56" s="18">
        <v>93.5</v>
      </c>
      <c r="AD56" s="19">
        <v>43.316084788029926</v>
      </c>
      <c r="AE56" s="19">
        <v>34.264962593516209</v>
      </c>
      <c r="AF56" s="19">
        <v>57.539276807980059</v>
      </c>
      <c r="AG56" s="19">
        <v>4</v>
      </c>
      <c r="AH56" s="19">
        <v>1.9</v>
      </c>
      <c r="AI56" s="18">
        <v>5</v>
      </c>
    </row>
    <row r="57" spans="26:35">
      <c r="Z57" s="11" t="s">
        <v>246</v>
      </c>
      <c r="AA57" s="19">
        <v>86.8</v>
      </c>
      <c r="AB57" s="19">
        <v>71.7</v>
      </c>
      <c r="AC57" s="18">
        <v>93.9</v>
      </c>
      <c r="AD57" s="19">
        <v>56.892768079800504</v>
      </c>
      <c r="AE57" s="19">
        <v>42.023067331670823</v>
      </c>
      <c r="AF57" s="19">
        <v>68.529925187032418</v>
      </c>
      <c r="AG57" s="19">
        <v>17.2</v>
      </c>
      <c r="AH57" s="19">
        <v>7.7</v>
      </c>
      <c r="AI57" s="18">
        <v>25.7</v>
      </c>
    </row>
    <row r="58" spans="26:35">
      <c r="Z58" s="11" t="s">
        <v>247</v>
      </c>
      <c r="AA58" s="19">
        <v>86.6</v>
      </c>
      <c r="AB58" s="19">
        <v>54.3</v>
      </c>
      <c r="AC58" s="18">
        <v>93.9</v>
      </c>
      <c r="AD58" s="19">
        <v>55.599750623441395</v>
      </c>
      <c r="AE58" s="19">
        <v>31.032418952618457</v>
      </c>
      <c r="AF58" s="19">
        <v>69.176433915211973</v>
      </c>
      <c r="AG58" s="19">
        <v>7.3</v>
      </c>
      <c r="AH58" s="19">
        <v>1.3</v>
      </c>
      <c r="AI58" s="18">
        <v>16.2</v>
      </c>
    </row>
    <row r="59" spans="26:35">
      <c r="Z59" s="11" t="s">
        <v>248</v>
      </c>
      <c r="AA59" s="19">
        <v>89.8</v>
      </c>
      <c r="AB59" s="19">
        <v>62.7</v>
      </c>
      <c r="AC59" s="18">
        <v>95.7</v>
      </c>
      <c r="AD59" s="19">
        <v>40.083541147132166</v>
      </c>
      <c r="AE59" s="19">
        <v>26.506857855361595</v>
      </c>
      <c r="AF59" s="19">
        <v>58.185785536159592</v>
      </c>
      <c r="AG59" s="19">
        <v>2.8</v>
      </c>
      <c r="AH59" s="19">
        <v>0.7</v>
      </c>
      <c r="AI59" s="18">
        <v>6.7</v>
      </c>
    </row>
    <row r="60" spans="26:35">
      <c r="Z60" s="11" t="s">
        <v>249</v>
      </c>
      <c r="AA60" s="19">
        <v>87.9</v>
      </c>
      <c r="AB60" s="19">
        <v>46.8</v>
      </c>
      <c r="AC60" s="18">
        <v>95.1</v>
      </c>
      <c r="AD60" s="19">
        <v>56.246259351620942</v>
      </c>
      <c r="AE60" s="19">
        <v>31.678927680798004</v>
      </c>
      <c r="AF60" s="19">
        <v>71.115960099750623</v>
      </c>
      <c r="AG60" s="19">
        <v>8.1999999999999993</v>
      </c>
      <c r="AH60" s="19">
        <v>0.1</v>
      </c>
      <c r="AI60" s="18">
        <v>17.399999999999999</v>
      </c>
    </row>
    <row r="61" spans="26:35" ht="15.75">
      <c r="Z61" s="27"/>
      <c r="AA61" s="28"/>
      <c r="AB61" s="28"/>
      <c r="AC61" s="28"/>
      <c r="AD61" s="28"/>
      <c r="AE61" s="28"/>
      <c r="AF61" s="28"/>
      <c r="AG61" s="28"/>
      <c r="AH61" s="28"/>
      <c r="AI61" s="29"/>
    </row>
    <row r="62" spans="26:35" ht="31.5">
      <c r="Z62" s="24" t="s">
        <v>250</v>
      </c>
      <c r="AA62" s="25" t="s">
        <v>153</v>
      </c>
      <c r="AB62" s="126" t="s">
        <v>154</v>
      </c>
      <c r="AC62" s="127"/>
      <c r="AD62" s="25" t="s">
        <v>153</v>
      </c>
      <c r="AE62" s="126" t="s">
        <v>154</v>
      </c>
      <c r="AF62" s="127"/>
      <c r="AG62" s="25" t="s">
        <v>153</v>
      </c>
      <c r="AH62" s="126" t="s">
        <v>154</v>
      </c>
      <c r="AI62" s="127"/>
    </row>
    <row r="63" spans="26:35">
      <c r="Z63" s="11" t="s">
        <v>251</v>
      </c>
      <c r="AA63" s="16">
        <v>28.2</v>
      </c>
      <c r="AB63" s="16">
        <v>13.9</v>
      </c>
      <c r="AC63" s="16">
        <v>60.6</v>
      </c>
      <c r="AD63" s="17">
        <v>69.822942643391528</v>
      </c>
      <c r="AE63" s="17">
        <v>53.660224438902752</v>
      </c>
      <c r="AF63" s="17">
        <v>90.511221945137152</v>
      </c>
      <c r="AG63" s="16">
        <v>21.6</v>
      </c>
      <c r="AH63" s="16">
        <v>9.8000000000000007</v>
      </c>
      <c r="AI63" s="18">
        <v>28.8</v>
      </c>
    </row>
    <row r="64" spans="26:35">
      <c r="Z64" s="11" t="s">
        <v>252</v>
      </c>
      <c r="AA64" s="19">
        <v>10</v>
      </c>
      <c r="AB64" s="19">
        <v>8</v>
      </c>
      <c r="AC64" s="19">
        <v>15.5</v>
      </c>
      <c r="AD64" s="18">
        <v>82.106608478802983</v>
      </c>
      <c r="AE64" s="18">
        <v>56.892768079800504</v>
      </c>
      <c r="AF64" s="18">
        <v>91.804239401496261</v>
      </c>
      <c r="AG64" s="19">
        <v>9.8000000000000007</v>
      </c>
      <c r="AH64" s="19">
        <v>6.5</v>
      </c>
      <c r="AI64" s="18">
        <v>15.3</v>
      </c>
    </row>
    <row r="65" spans="26:35">
      <c r="Z65" s="11" t="s">
        <v>253</v>
      </c>
      <c r="AA65" s="19">
        <v>90.5</v>
      </c>
      <c r="AB65" s="19">
        <v>87.4</v>
      </c>
      <c r="AC65" s="19">
        <v>93.5</v>
      </c>
      <c r="AD65" s="18">
        <v>78.227556109725683</v>
      </c>
      <c r="AE65" s="18">
        <v>63.357855361596009</v>
      </c>
      <c r="AF65" s="18">
        <v>99</v>
      </c>
      <c r="AG65" s="19">
        <v>37.5</v>
      </c>
      <c r="AH65" s="19">
        <v>27.4</v>
      </c>
      <c r="AI65" s="18">
        <v>42.1</v>
      </c>
    </row>
    <row r="66" spans="26:35">
      <c r="Z66" s="11" t="s">
        <v>254</v>
      </c>
      <c r="AA66" s="19">
        <v>14.3</v>
      </c>
      <c r="AB66" s="19">
        <v>10.6</v>
      </c>
      <c r="AC66" s="19">
        <v>17.3</v>
      </c>
      <c r="AD66" s="18">
        <v>83.399625935162106</v>
      </c>
      <c r="AE66" s="18">
        <v>62.064837905236914</v>
      </c>
      <c r="AF66" s="18">
        <v>93.743765586034911</v>
      </c>
      <c r="AG66" s="19">
        <v>8.6</v>
      </c>
      <c r="AH66" s="19">
        <v>6</v>
      </c>
      <c r="AI66" s="18">
        <v>11.9</v>
      </c>
    </row>
    <row r="67" spans="26:35">
      <c r="Z67" s="11" t="s">
        <v>255</v>
      </c>
      <c r="AA67" s="19">
        <v>89.8</v>
      </c>
      <c r="AB67" s="19">
        <v>87.5</v>
      </c>
      <c r="AC67" s="19">
        <v>95.3</v>
      </c>
      <c r="AD67" s="18">
        <v>71.762468827930164</v>
      </c>
      <c r="AE67" s="18">
        <v>62.064837905236914</v>
      </c>
      <c r="AF67" s="18">
        <v>82.106608478802983</v>
      </c>
      <c r="AG67" s="19">
        <v>43.5</v>
      </c>
      <c r="AH67" s="19">
        <v>39.5</v>
      </c>
      <c r="AI67" s="18">
        <v>48</v>
      </c>
    </row>
    <row r="68" spans="26:35">
      <c r="Z68" s="11" t="s">
        <v>256</v>
      </c>
      <c r="AA68" s="19">
        <v>55.1</v>
      </c>
      <c r="AB68" s="19">
        <v>19.600000000000001</v>
      </c>
      <c r="AC68" s="19">
        <v>93.9</v>
      </c>
      <c r="AD68" s="18">
        <v>40.730049875311721</v>
      </c>
      <c r="AE68" s="18">
        <v>14.869700748129674</v>
      </c>
      <c r="AF68" s="18">
        <v>78.227556109725683</v>
      </c>
      <c r="AG68" s="19">
        <v>12.1</v>
      </c>
      <c r="AH68" s="19">
        <v>5.4</v>
      </c>
      <c r="AI68" s="18">
        <v>17.2</v>
      </c>
    </row>
    <row r="69" spans="26:35">
      <c r="Z69" s="11" t="s">
        <v>257</v>
      </c>
      <c r="AA69" s="19">
        <v>76</v>
      </c>
      <c r="AB69" s="19">
        <v>70</v>
      </c>
      <c r="AC69" s="19">
        <v>85</v>
      </c>
      <c r="AD69" s="18">
        <v>89</v>
      </c>
      <c r="AE69" s="19"/>
      <c r="AF69" s="19"/>
      <c r="AG69" s="19">
        <v>4</v>
      </c>
      <c r="AH69" s="19">
        <v>3</v>
      </c>
      <c r="AI69" s="18">
        <v>5</v>
      </c>
    </row>
    <row r="70" spans="26:35">
      <c r="Z70" s="11" t="s">
        <v>258</v>
      </c>
      <c r="AA70" s="19">
        <v>90.4</v>
      </c>
      <c r="AB70" s="19">
        <v>89.9</v>
      </c>
      <c r="AC70" s="19">
        <v>90.8</v>
      </c>
      <c r="AD70" s="18">
        <v>89.864713216957611</v>
      </c>
      <c r="AE70" s="18">
        <v>60.125311720698257</v>
      </c>
      <c r="AF70" s="18">
        <v>97.622817955112211</v>
      </c>
      <c r="AG70" s="19">
        <v>15.5</v>
      </c>
      <c r="AH70" s="19">
        <v>12.9</v>
      </c>
      <c r="AI70" s="18">
        <v>19.600000000000001</v>
      </c>
    </row>
    <row r="71" spans="26:35">
      <c r="Z71" s="11" t="s">
        <v>259</v>
      </c>
      <c r="AA71" s="19">
        <v>27.3</v>
      </c>
      <c r="AB71" s="19">
        <v>16.600000000000001</v>
      </c>
      <c r="AC71" s="19">
        <v>30.2</v>
      </c>
      <c r="AD71" s="18">
        <v>49.781172069825438</v>
      </c>
      <c r="AE71" s="18">
        <v>26.506857855361595</v>
      </c>
      <c r="AF71" s="18">
        <v>60.125311720698257</v>
      </c>
      <c r="AG71" s="19">
        <v>19.399999999999999</v>
      </c>
      <c r="AH71" s="19">
        <v>5</v>
      </c>
      <c r="AI71" s="18">
        <v>22.6</v>
      </c>
    </row>
    <row r="72" spans="26:35">
      <c r="Z72" s="11" t="s">
        <v>260</v>
      </c>
      <c r="AA72" s="19">
        <v>34</v>
      </c>
      <c r="AB72" s="19">
        <v>15.1</v>
      </c>
      <c r="AC72" s="19">
        <v>89.6</v>
      </c>
      <c r="AD72" s="18">
        <v>77.581047381546142</v>
      </c>
      <c r="AE72" s="18">
        <v>70.469451371571083</v>
      </c>
      <c r="AF72" s="18">
        <v>85.339152119700742</v>
      </c>
      <c r="AG72" s="19">
        <v>17.899999999999999</v>
      </c>
      <c r="AH72" s="19">
        <v>8.4</v>
      </c>
      <c r="AI72" s="18">
        <v>29.8</v>
      </c>
    </row>
    <row r="73" spans="26:35">
      <c r="Z73" s="30" t="s">
        <v>261</v>
      </c>
      <c r="AA73" s="31">
        <v>7.5</v>
      </c>
      <c r="AB73" s="31">
        <v>2.1</v>
      </c>
      <c r="AC73" s="31">
        <v>27.4</v>
      </c>
      <c r="AD73" s="32">
        <v>87.925187032418961</v>
      </c>
      <c r="AE73" s="32">
        <v>79.520573566084792</v>
      </c>
      <c r="AF73" s="32">
        <v>91.157730673316706</v>
      </c>
      <c r="AG73" s="31">
        <v>30.1</v>
      </c>
      <c r="AH73" s="31">
        <v>18.600000000000001</v>
      </c>
      <c r="AI73" s="32">
        <v>40.299999999999997</v>
      </c>
    </row>
    <row r="74" spans="26:35" ht="15.75">
      <c r="Z74" s="33"/>
      <c r="AA74" s="34" t="s">
        <v>262</v>
      </c>
      <c r="AB74" s="35"/>
      <c r="AC74" s="35"/>
      <c r="AD74" s="35"/>
      <c r="AE74" s="35"/>
      <c r="AF74" s="35"/>
      <c r="AG74" s="35"/>
      <c r="AH74" s="35"/>
      <c r="AI74" s="35"/>
    </row>
    <row r="75" spans="26:35"/>
    <row r="76" spans="26:35"/>
    <row r="77" spans="26:35"/>
    <row r="78" spans="26:35"/>
    <row r="79" spans="26:35"/>
    <row r="80" spans="26:35"/>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row r="2104"/>
    <row r="2105"/>
    <row r="2106"/>
    <row r="2107"/>
    <row r="2108"/>
    <row r="2109"/>
    <row r="2110"/>
    <row r="2111"/>
    <row r="2112"/>
    <row r="2113"/>
    <row r="2114"/>
    <row r="2115"/>
    <row r="2116"/>
    <row r="2117"/>
    <row r="2118"/>
    <row r="2119"/>
    <row r="2120"/>
    <row r="2121"/>
    <row r="2122"/>
    <row r="2123"/>
    <row r="2124"/>
    <row r="2125"/>
    <row r="2126"/>
    <row r="2127"/>
    <row r="2128"/>
    <row r="2129"/>
    <row r="2130"/>
    <row r="2131"/>
    <row r="2132"/>
    <row r="2133"/>
    <row r="2134"/>
    <row r="2135"/>
    <row r="2136"/>
    <row r="2137"/>
    <row r="2138"/>
    <row r="2139"/>
    <row r="2140"/>
    <row r="2141"/>
    <row r="2142"/>
    <row r="2143"/>
    <row r="2144"/>
    <row r="2145"/>
    <row r="2146"/>
    <row r="2147"/>
    <row r="2148"/>
    <row r="2149"/>
    <row r="2150"/>
    <row r="2151"/>
    <row r="2152"/>
    <row r="2153"/>
    <row r="2154"/>
    <row r="2155"/>
    <row r="2156"/>
    <row r="2157"/>
    <row r="2158"/>
    <row r="2159"/>
    <row r="2160"/>
    <row r="2161"/>
    <row r="2162"/>
    <row r="2163"/>
    <row r="2164"/>
    <row r="2165"/>
    <row r="2166"/>
    <row r="2167"/>
    <row r="2168"/>
    <row r="2169"/>
    <row r="2170"/>
    <row r="2171"/>
    <row r="2172"/>
    <row r="2173"/>
    <row r="2174"/>
    <row r="2175"/>
    <row r="2176"/>
    <row r="2177"/>
    <row r="2178"/>
    <row r="2179"/>
    <row r="2180"/>
    <row r="2181"/>
    <row r="2182"/>
    <row r="2183"/>
    <row r="2184"/>
    <row r="2185"/>
    <row r="2186"/>
    <row r="2187"/>
    <row r="2188"/>
    <row r="2189"/>
    <row r="2190"/>
    <row r="2191"/>
    <row r="2192"/>
    <row r="2193"/>
    <row r="2194"/>
    <row r="2195"/>
    <row r="2196"/>
    <row r="2197"/>
    <row r="2198"/>
    <row r="2199"/>
    <row r="2200"/>
    <row r="2201"/>
    <row r="2202"/>
    <row r="2203"/>
    <row r="2204"/>
    <row r="2205"/>
    <row r="2206"/>
    <row r="2207"/>
    <row r="2208"/>
    <row r="2209"/>
    <row r="2210"/>
    <row r="2211"/>
    <row r="2212"/>
    <row r="2213"/>
    <row r="2214"/>
    <row r="2215"/>
    <row r="2216"/>
    <row r="2217"/>
    <row r="2218"/>
    <row r="2219"/>
    <row r="2220"/>
    <row r="2221"/>
    <row r="2222"/>
    <row r="2223"/>
    <row r="2224"/>
    <row r="2225"/>
    <row r="2226"/>
    <row r="2227"/>
    <row r="2228"/>
    <row r="2229"/>
    <row r="2230"/>
    <row r="2231"/>
    <row r="2232"/>
    <row r="2233"/>
    <row r="2234"/>
    <row r="2235"/>
    <row r="2236"/>
    <row r="2237"/>
    <row r="2238"/>
    <row r="2239"/>
    <row r="2240"/>
    <row r="2241"/>
    <row r="2242"/>
    <row r="2243"/>
    <row r="2244"/>
    <row r="2245"/>
    <row r="2246"/>
    <row r="2247"/>
    <row r="2248"/>
    <row r="2249"/>
    <row r="2250"/>
    <row r="2251"/>
    <row r="2252"/>
    <row r="2253"/>
    <row r="2254"/>
    <row r="2255"/>
    <row r="2256"/>
    <row r="2257"/>
    <row r="2258"/>
    <row r="2259"/>
    <row r="2260"/>
    <row r="2261"/>
    <row r="2262"/>
    <row r="2263"/>
    <row r="2264"/>
    <row r="2265"/>
    <row r="2266"/>
    <row r="2267"/>
    <row r="2268"/>
    <row r="2269"/>
    <row r="2270"/>
    <row r="2271"/>
    <row r="2272"/>
    <row r="2273"/>
    <row r="2274"/>
    <row r="2275"/>
    <row r="2276"/>
    <row r="2277"/>
    <row r="2278"/>
    <row r="2279"/>
    <row r="2280"/>
    <row r="2281"/>
    <row r="2282"/>
    <row r="2283"/>
    <row r="2284"/>
    <row r="2285"/>
    <row r="2286"/>
    <row r="2287"/>
    <row r="2288"/>
    <row r="2289"/>
    <row r="2290"/>
    <row r="2291"/>
    <row r="2292"/>
    <row r="2293"/>
    <row r="2294"/>
    <row r="2295"/>
    <row r="2296"/>
    <row r="2297"/>
    <row r="2298"/>
    <row r="2299"/>
    <row r="2300"/>
    <row r="2301"/>
    <row r="2302"/>
    <row r="2303"/>
    <row r="2304"/>
    <row r="2305"/>
    <row r="2306"/>
    <row r="2307"/>
    <row r="2308"/>
    <row r="2309"/>
    <row r="2310"/>
    <row r="2311"/>
    <row r="2312"/>
    <row r="2313"/>
    <row r="2314"/>
    <row r="2315"/>
    <row r="2316"/>
    <row r="2317"/>
    <row r="2318"/>
    <row r="2319"/>
    <row r="2320"/>
    <row r="2321"/>
    <row r="2322"/>
    <row r="2323"/>
    <row r="2324"/>
    <row r="2325"/>
    <row r="2326"/>
    <row r="2327"/>
    <row r="2328"/>
    <row r="2329"/>
    <row r="2330"/>
    <row r="2331"/>
    <row r="2332"/>
    <row r="2333"/>
    <row r="2334"/>
    <row r="2335"/>
    <row r="2336"/>
    <row r="2337"/>
    <row r="2338"/>
    <row r="2339"/>
    <row r="2340"/>
    <row r="2341"/>
    <row r="2342"/>
    <row r="2343"/>
    <row r="2344"/>
    <row r="2345"/>
    <row r="2346"/>
    <row r="2347"/>
    <row r="2348"/>
    <row r="2349"/>
    <row r="2350"/>
    <row r="2351"/>
    <row r="2352"/>
    <row r="2353"/>
    <row r="2354"/>
    <row r="2355"/>
    <row r="2356"/>
    <row r="2357"/>
    <row r="2358"/>
    <row r="2359"/>
    <row r="2360"/>
    <row r="2361"/>
    <row r="2362"/>
    <row r="2363"/>
    <row r="2364"/>
    <row r="2365"/>
    <row r="2366"/>
    <row r="2367"/>
    <row r="2368"/>
    <row r="2369"/>
    <row r="2370"/>
    <row r="2371"/>
    <row r="2372"/>
    <row r="2373"/>
    <row r="2374"/>
    <row r="2375"/>
    <row r="2376"/>
    <row r="2377"/>
    <row r="2378"/>
    <row r="2379"/>
    <row r="2380"/>
    <row r="2381"/>
    <row r="2382"/>
    <row r="2383"/>
    <row r="2384"/>
    <row r="2385"/>
    <row r="2386"/>
    <row r="2387"/>
    <row r="2388"/>
    <row r="2389"/>
    <row r="2390"/>
    <row r="2391"/>
    <row r="2392"/>
    <row r="2393"/>
    <row r="2394"/>
    <row r="2395"/>
    <row r="2396"/>
    <row r="2397"/>
    <row r="2398"/>
    <row r="2399"/>
    <row r="2400"/>
    <row r="2401"/>
    <row r="2402"/>
    <row r="2403"/>
    <row r="2404"/>
    <row r="2405"/>
    <row r="2406"/>
    <row r="2407"/>
    <row r="2408"/>
    <row r="2409"/>
    <row r="2410"/>
    <row r="2411"/>
    <row r="2412"/>
    <row r="2413"/>
    <row r="2414"/>
    <row r="2415"/>
    <row r="2416"/>
    <row r="2417"/>
    <row r="2418"/>
    <row r="2419"/>
    <row r="2420"/>
    <row r="2421"/>
    <row r="2422"/>
    <row r="2423"/>
    <row r="2424"/>
    <row r="2425"/>
    <row r="2426"/>
    <row r="2427"/>
    <row r="2428"/>
    <row r="2429"/>
    <row r="2430"/>
    <row r="2431"/>
    <row r="2432"/>
    <row r="2433"/>
    <row r="2434"/>
    <row r="2435"/>
    <row r="2436"/>
    <row r="2437"/>
    <row r="2438"/>
    <row r="2439"/>
    <row r="2440"/>
    <row r="2441"/>
    <row r="2442"/>
    <row r="2443"/>
    <row r="2444"/>
    <row r="2445"/>
    <row r="2446"/>
    <row r="2447"/>
    <row r="2448"/>
    <row r="2449"/>
    <row r="2450"/>
    <row r="2451"/>
    <row r="2452"/>
    <row r="2453"/>
    <row r="2454"/>
    <row r="2455"/>
    <row r="2456"/>
    <row r="2457"/>
    <row r="2458"/>
    <row r="2459"/>
    <row r="2460"/>
    <row r="2461"/>
    <row r="2462"/>
    <row r="2463"/>
    <row r="2464"/>
    <row r="2465"/>
    <row r="2466"/>
    <row r="2467"/>
    <row r="2468"/>
    <row r="2469"/>
    <row r="2470"/>
    <row r="2471"/>
    <row r="2472"/>
    <row r="2473"/>
    <row r="2474"/>
    <row r="2475"/>
    <row r="2476"/>
    <row r="2477"/>
    <row r="2478"/>
    <row r="2479"/>
    <row r="2480"/>
    <row r="2481"/>
    <row r="2482"/>
    <row r="2483"/>
    <row r="2484"/>
    <row r="2485"/>
    <row r="2486"/>
    <row r="2487"/>
    <row r="2488"/>
    <row r="2489"/>
    <row r="2490"/>
    <row r="2491"/>
    <row r="2492"/>
    <row r="2493"/>
    <row r="2494"/>
    <row r="2495"/>
    <row r="2496"/>
    <row r="2497"/>
    <row r="2498"/>
    <row r="2499"/>
    <row r="2500"/>
    <row r="2501"/>
    <row r="2502"/>
    <row r="2503"/>
    <row r="2504"/>
    <row r="2505"/>
    <row r="2506"/>
    <row r="2507"/>
    <row r="2508"/>
    <row r="2509"/>
    <row r="2510"/>
    <row r="2511"/>
    <row r="2512"/>
    <row r="2513"/>
    <row r="2514"/>
    <row r="2515"/>
    <row r="2516"/>
    <row r="2517"/>
    <row r="2518"/>
    <row r="2519"/>
    <row r="2520"/>
    <row r="2521"/>
    <row r="2522"/>
    <row r="2523"/>
    <row r="2524"/>
    <row r="2525"/>
    <row r="2526"/>
    <row r="2527"/>
    <row r="2528"/>
    <row r="2529"/>
    <row r="2530"/>
    <row r="2531"/>
    <row r="2532"/>
    <row r="2533"/>
    <row r="2534"/>
    <row r="2535"/>
    <row r="2536"/>
    <row r="2537"/>
    <row r="2538"/>
    <row r="2539"/>
    <row r="2540"/>
    <row r="2541"/>
    <row r="2542"/>
    <row r="2543"/>
    <row r="2544"/>
    <row r="2545"/>
    <row r="2546"/>
    <row r="2547"/>
    <row r="2548"/>
    <row r="2549"/>
    <row r="2550"/>
    <row r="2551"/>
    <row r="2552"/>
    <row r="2553"/>
    <row r="2554"/>
    <row r="2555"/>
    <row r="2556"/>
    <row r="2557"/>
    <row r="2558"/>
    <row r="2559"/>
    <row r="2560"/>
    <row r="2561"/>
    <row r="2562"/>
    <row r="2563"/>
    <row r="2564"/>
    <row r="2565"/>
    <row r="2566"/>
    <row r="2567"/>
    <row r="2568"/>
    <row r="2569"/>
    <row r="2570"/>
    <row r="2571"/>
    <row r="2572"/>
    <row r="2573"/>
    <row r="2574"/>
    <row r="2575"/>
    <row r="2576"/>
    <row r="2577"/>
    <row r="2578"/>
    <row r="2579"/>
    <row r="2580"/>
    <row r="2581"/>
    <row r="2582"/>
    <row r="2583"/>
    <row r="2584"/>
    <row r="2585"/>
    <row r="2586"/>
    <row r="2587"/>
    <row r="2588"/>
    <row r="2589"/>
    <row r="2590"/>
    <row r="2591"/>
    <row r="2592"/>
    <row r="2593"/>
    <row r="2594"/>
    <row r="2595"/>
    <row r="2596"/>
    <row r="2597"/>
    <row r="2598"/>
    <row r="2599"/>
    <row r="2600"/>
    <row r="2601"/>
    <row r="2602"/>
    <row r="2603"/>
    <row r="2604"/>
    <row r="2605"/>
    <row r="2606"/>
    <row r="2607"/>
    <row r="2608"/>
    <row r="2609"/>
    <row r="2610"/>
    <row r="2611"/>
    <row r="2612"/>
    <row r="2613"/>
    <row r="2614"/>
    <row r="2615"/>
    <row r="2616"/>
    <row r="2617"/>
    <row r="2618"/>
    <row r="2619"/>
    <row r="2620"/>
    <row r="2621"/>
    <row r="2622"/>
    <row r="2623"/>
    <row r="2624"/>
    <row r="2625"/>
    <row r="2626"/>
    <row r="2627"/>
    <row r="2628"/>
    <row r="2629"/>
    <row r="2630"/>
    <row r="2631"/>
    <row r="2632"/>
    <row r="2633"/>
    <row r="2634"/>
    <row r="2635"/>
    <row r="2636"/>
    <row r="2637"/>
    <row r="2638"/>
    <row r="2639"/>
    <row r="2640"/>
    <row r="2641"/>
    <row r="2642"/>
    <row r="2643"/>
    <row r="2644"/>
    <row r="2645"/>
    <row r="2646"/>
    <row r="2647"/>
    <row r="2648"/>
    <row r="2649"/>
    <row r="2650"/>
    <row r="2651"/>
    <row r="2652"/>
    <row r="2653"/>
    <row r="2654"/>
    <row r="2655"/>
    <row r="2656"/>
    <row r="2657"/>
    <row r="2658"/>
    <row r="2659"/>
    <row r="2660"/>
    <row r="2661"/>
    <row r="2662"/>
    <row r="2663"/>
    <row r="2664"/>
    <row r="2665"/>
    <row r="2666"/>
    <row r="2667"/>
    <row r="2668"/>
    <row r="2669"/>
    <row r="2670"/>
    <row r="2671"/>
    <row r="2672"/>
    <row r="2673"/>
    <row r="2674"/>
    <row r="2675"/>
    <row r="2676"/>
    <row r="2677"/>
    <row r="2678"/>
    <row r="2679"/>
    <row r="2680"/>
    <row r="2681"/>
    <row r="2682"/>
    <row r="2683"/>
    <row r="2684"/>
    <row r="2685"/>
    <row r="2686"/>
    <row r="2687"/>
    <row r="2688"/>
    <row r="2689"/>
    <row r="2690"/>
    <row r="2691"/>
    <row r="2692"/>
    <row r="2693"/>
    <row r="2694"/>
    <row r="2695"/>
    <row r="2696"/>
    <row r="2697"/>
    <row r="2698"/>
    <row r="2699"/>
    <row r="2700"/>
    <row r="2701"/>
    <row r="2702"/>
    <row r="2703"/>
    <row r="2704"/>
    <row r="2705"/>
    <row r="2706"/>
    <row r="2707"/>
    <row r="2708"/>
    <row r="2709"/>
    <row r="2710"/>
    <row r="2711"/>
    <row r="2712"/>
    <row r="2713"/>
    <row r="2714"/>
    <row r="2715"/>
    <row r="2716"/>
    <row r="2717"/>
    <row r="2718"/>
    <row r="2719"/>
    <row r="2720"/>
    <row r="2721"/>
    <row r="2722"/>
    <row r="2723"/>
    <row r="2724"/>
    <row r="2725"/>
    <row r="2726"/>
    <row r="2727"/>
    <row r="2728"/>
    <row r="2729"/>
    <row r="2730"/>
    <row r="2731"/>
    <row r="2732"/>
    <row r="2733"/>
    <row r="2734"/>
    <row r="2735"/>
    <row r="2736"/>
    <row r="2737"/>
    <row r="2738"/>
    <row r="2739"/>
    <row r="2740"/>
    <row r="2741"/>
    <row r="2742"/>
    <row r="2743"/>
    <row r="2744"/>
    <row r="2745"/>
    <row r="2746"/>
    <row r="2747"/>
    <row r="2748"/>
    <row r="2749"/>
    <row r="2750"/>
    <row r="2751"/>
    <row r="2752"/>
    <row r="2753"/>
    <row r="2754"/>
    <row r="2755"/>
    <row r="2756"/>
    <row r="2757"/>
    <row r="2758"/>
    <row r="2759"/>
    <row r="2760"/>
    <row r="2761"/>
    <row r="2762"/>
    <row r="2763"/>
    <row r="2764"/>
    <row r="2765"/>
    <row r="2766"/>
    <row r="2767"/>
    <row r="2768"/>
    <row r="2769"/>
    <row r="2770"/>
    <row r="2771"/>
    <row r="2772"/>
    <row r="2773"/>
    <row r="2774"/>
    <row r="2775"/>
    <row r="2776"/>
    <row r="2777"/>
    <row r="2778"/>
    <row r="2779"/>
    <row r="2780"/>
    <row r="2781"/>
    <row r="2782"/>
    <row r="2783"/>
    <row r="2784"/>
    <row r="2785"/>
    <row r="2786"/>
    <row r="2787"/>
    <row r="2788"/>
    <row r="2789"/>
    <row r="2790"/>
    <row r="2791"/>
    <row r="2792"/>
    <row r="2793"/>
    <row r="2794"/>
    <row r="2795"/>
    <row r="2796"/>
    <row r="2797"/>
    <row r="2798"/>
    <row r="2799"/>
    <row r="2800"/>
    <row r="2801"/>
    <row r="2802"/>
    <row r="2803"/>
    <row r="2804"/>
    <row r="2805"/>
    <row r="2806"/>
    <row r="2807"/>
    <row r="2808"/>
    <row r="2809"/>
    <row r="2810"/>
    <row r="2811"/>
    <row r="2812"/>
    <row r="2813"/>
    <row r="2814"/>
    <row r="2815"/>
    <row r="2816"/>
    <row r="2817"/>
    <row r="2818"/>
    <row r="2819"/>
    <row r="2820"/>
    <row r="2821"/>
    <row r="2822"/>
    <row r="2823"/>
    <row r="2824"/>
    <row r="2825"/>
    <row r="2826"/>
    <row r="2827"/>
    <row r="2828"/>
    <row r="2829"/>
    <row r="2830"/>
    <row r="2831"/>
    <row r="2832"/>
    <row r="2833"/>
    <row r="2834"/>
    <row r="2835"/>
    <row r="2836"/>
    <row r="2837"/>
    <row r="2838"/>
    <row r="2839"/>
    <row r="2840"/>
    <row r="2841"/>
    <row r="2842"/>
    <row r="2843"/>
    <row r="2844"/>
    <row r="2845"/>
    <row r="2846"/>
    <row r="2847"/>
    <row r="2848"/>
    <row r="2849"/>
    <row r="2850"/>
    <row r="2851"/>
    <row r="2852"/>
    <row r="2853"/>
    <row r="2854"/>
    <row r="2855"/>
    <row r="2856"/>
    <row r="2857"/>
    <row r="2858"/>
    <row r="2859"/>
    <row r="2860"/>
    <row r="2861"/>
    <row r="2862"/>
    <row r="2863"/>
    <row r="2864"/>
    <row r="2865"/>
    <row r="2866"/>
    <row r="2867"/>
    <row r="2868"/>
    <row r="2869"/>
    <row r="2870"/>
    <row r="2871"/>
    <row r="2872"/>
    <row r="2873"/>
    <row r="2874"/>
    <row r="2875"/>
    <row r="2876"/>
    <row r="2877"/>
    <row r="2878"/>
    <row r="2879"/>
    <row r="2880"/>
    <row r="2881"/>
    <row r="2882"/>
    <row r="2883"/>
    <row r="2884"/>
    <row r="2885"/>
    <row r="2886"/>
    <row r="2887"/>
    <row r="2888"/>
    <row r="2889"/>
    <row r="2890"/>
    <row r="2891"/>
    <row r="2892"/>
    <row r="2893"/>
    <row r="2894"/>
    <row r="2895"/>
    <row r="2896"/>
    <row r="2897"/>
    <row r="2898"/>
    <row r="2899"/>
    <row r="2900"/>
    <row r="2901"/>
    <row r="2902"/>
    <row r="2903"/>
    <row r="2904"/>
    <row r="2905"/>
    <row r="2906"/>
    <row r="2907"/>
    <row r="2908"/>
    <row r="2909"/>
    <row r="2910"/>
    <row r="2911"/>
    <row r="2912"/>
    <row r="2913"/>
    <row r="2914"/>
    <row r="2915"/>
    <row r="2916"/>
    <row r="2917"/>
    <row r="2918"/>
    <row r="2919"/>
    <row r="2920"/>
    <row r="2921"/>
    <row r="2922"/>
    <row r="2923"/>
    <row r="2924"/>
    <row r="2925"/>
    <row r="2926"/>
    <row r="2927"/>
    <row r="2928"/>
    <row r="2929"/>
    <row r="2930"/>
    <row r="2931"/>
    <row r="2932"/>
    <row r="2933"/>
    <row r="2934"/>
    <row r="2935"/>
    <row r="2936"/>
    <row r="2937"/>
    <row r="2938"/>
    <row r="2939"/>
    <row r="2940"/>
    <row r="2941"/>
    <row r="2942"/>
    <row r="2943"/>
    <row r="2944"/>
    <row r="2945"/>
    <row r="2946"/>
    <row r="2947"/>
    <row r="2948"/>
    <row r="2949"/>
    <row r="2950"/>
    <row r="2951"/>
    <row r="2952"/>
    <row r="2953"/>
    <row r="2954"/>
    <row r="2955"/>
    <row r="2956"/>
    <row r="2957"/>
    <row r="2958"/>
    <row r="2959"/>
    <row r="2960"/>
    <row r="2961"/>
    <row r="2962"/>
    <row r="2963"/>
    <row r="2964"/>
    <row r="2965"/>
    <row r="2966"/>
    <row r="2967"/>
    <row r="2968"/>
    <row r="2969"/>
    <row r="2970"/>
    <row r="2971"/>
    <row r="2972"/>
    <row r="2973"/>
    <row r="2974"/>
    <row r="2975"/>
    <row r="2976"/>
    <row r="2977"/>
    <row r="2978"/>
    <row r="2979"/>
    <row r="2980"/>
    <row r="2981"/>
    <row r="2982"/>
    <row r="2983"/>
    <row r="2984"/>
    <row r="2985"/>
    <row r="2986"/>
    <row r="2987"/>
    <row r="2988"/>
    <row r="2989"/>
    <row r="2990"/>
    <row r="2991"/>
    <row r="2992"/>
    <row r="2993"/>
    <row r="2994"/>
    <row r="2995"/>
    <row r="2996"/>
    <row r="2997"/>
    <row r="2998"/>
    <row r="2999"/>
    <row r="3000"/>
    <row r="3001"/>
    <row r="3002"/>
    <row r="3003"/>
    <row r="3004"/>
    <row r="3005"/>
    <row r="3006"/>
    <row r="3007"/>
    <row r="3008"/>
    <row r="3009"/>
    <row r="3010"/>
    <row r="3011"/>
    <row r="3012"/>
    <row r="3013"/>
    <row r="3014"/>
    <row r="3015"/>
    <row r="3016"/>
    <row r="3017"/>
    <row r="3018"/>
    <row r="3019"/>
    <row r="3020"/>
    <row r="3021"/>
    <row r="3022"/>
    <row r="3023"/>
    <row r="3024"/>
    <row r="3025"/>
    <row r="3026"/>
    <row r="3027"/>
    <row r="3028"/>
    <row r="3029"/>
    <row r="3030"/>
    <row r="3031"/>
    <row r="3032"/>
    <row r="3033"/>
    <row r="3034"/>
    <row r="3035"/>
    <row r="3036"/>
    <row r="3037"/>
    <row r="3038"/>
    <row r="3039"/>
    <row r="3040"/>
    <row r="3041"/>
    <row r="3042"/>
    <row r="3043"/>
    <row r="3044"/>
    <row r="3045"/>
    <row r="3046"/>
    <row r="3047"/>
    <row r="3048"/>
    <row r="3049"/>
    <row r="3050"/>
    <row r="3051"/>
    <row r="3052"/>
    <row r="3053"/>
    <row r="3054"/>
    <row r="3055"/>
    <row r="3056"/>
    <row r="3057"/>
    <row r="3058"/>
    <row r="3059"/>
    <row r="3060"/>
    <row r="3061"/>
    <row r="3062"/>
    <row r="3063"/>
    <row r="3064"/>
    <row r="3065"/>
    <row r="3066"/>
    <row r="3067"/>
    <row r="3068"/>
    <row r="3069"/>
    <row r="3070"/>
    <row r="3071"/>
    <row r="3072"/>
    <row r="3073"/>
    <row r="3074"/>
    <row r="3075"/>
    <row r="3076"/>
    <row r="3077"/>
    <row r="3078"/>
    <row r="3079"/>
    <row r="3080"/>
    <row r="3081"/>
    <row r="3082"/>
    <row r="3083"/>
    <row r="3084"/>
    <row r="3085"/>
    <row r="3086"/>
    <row r="3087"/>
    <row r="3088"/>
    <row r="3089"/>
    <row r="3090"/>
    <row r="3091"/>
    <row r="3092"/>
    <row r="3093"/>
    <row r="3094"/>
    <row r="3095"/>
    <row r="3096"/>
    <row r="3097"/>
    <row r="3098"/>
    <row r="3099"/>
    <row r="3100"/>
    <row r="3101"/>
    <row r="3102"/>
    <row r="3103"/>
    <row r="3104"/>
    <row r="3105"/>
    <row r="3106"/>
    <row r="3107"/>
    <row r="3108"/>
    <row r="3109"/>
    <row r="3110"/>
    <row r="3111"/>
    <row r="3112"/>
    <row r="3113"/>
    <row r="3114"/>
    <row r="3115"/>
    <row r="3116"/>
    <row r="3117"/>
    <row r="3118"/>
    <row r="3119"/>
    <row r="3120"/>
    <row r="3121"/>
    <row r="3122"/>
    <row r="3123"/>
    <row r="3124"/>
    <row r="3125"/>
    <row r="3126"/>
    <row r="3127"/>
    <row r="3128"/>
    <row r="3129"/>
    <row r="3130"/>
    <row r="3131"/>
    <row r="3132"/>
    <row r="3133"/>
    <row r="3134"/>
    <row r="3135"/>
    <row r="3136"/>
    <row r="3137"/>
    <row r="3138"/>
    <row r="3139"/>
    <row r="3140"/>
    <row r="3141"/>
    <row r="3142"/>
    <row r="3143"/>
    <row r="3144"/>
    <row r="3145"/>
    <row r="3146"/>
    <row r="3147"/>
    <row r="3148"/>
    <row r="3149"/>
    <row r="3150"/>
    <row r="3151"/>
    <row r="3152"/>
    <row r="3153"/>
    <row r="3154"/>
    <row r="3155"/>
    <row r="3156"/>
    <row r="3157"/>
    <row r="3158"/>
    <row r="3159"/>
    <row r="3160"/>
    <row r="3161"/>
    <row r="3162"/>
    <row r="3163"/>
    <row r="3164"/>
    <row r="3165"/>
    <row r="3166"/>
    <row r="3167"/>
    <row r="3168"/>
    <row r="3169"/>
    <row r="3170"/>
    <row r="3171"/>
    <row r="3172"/>
    <row r="3173"/>
    <row r="3174"/>
    <row r="3175"/>
    <row r="3176"/>
    <row r="3177"/>
    <row r="3178"/>
    <row r="3179"/>
    <row r="3180"/>
    <row r="3181"/>
    <row r="3182"/>
    <row r="3183"/>
    <row r="3184"/>
    <row r="3185"/>
    <row r="3186"/>
    <row r="3187"/>
    <row r="3188"/>
    <row r="3189"/>
    <row r="3190"/>
    <row r="3191"/>
    <row r="3192"/>
    <row r="3193"/>
    <row r="3194"/>
    <row r="3195"/>
    <row r="3196"/>
    <row r="3197"/>
    <row r="3198"/>
    <row r="3199"/>
    <row r="3200"/>
    <row r="3201"/>
    <row r="3202"/>
    <row r="3203"/>
    <row r="3204"/>
    <row r="3205"/>
    <row r="3206"/>
    <row r="3207"/>
    <row r="3208"/>
    <row r="3209"/>
    <row r="3210"/>
    <row r="3211"/>
    <row r="3212"/>
    <row r="3213"/>
    <row r="3214"/>
    <row r="3215"/>
    <row r="3216"/>
    <row r="3217"/>
    <row r="3218"/>
    <row r="3219"/>
    <row r="3220"/>
    <row r="3221"/>
    <row r="3222"/>
    <row r="3223"/>
    <row r="3224"/>
    <row r="3225"/>
    <row r="3226"/>
    <row r="3227"/>
    <row r="3228"/>
    <row r="3229"/>
    <row r="3230"/>
    <row r="3231"/>
    <row r="3232"/>
    <row r="3233"/>
    <row r="3234"/>
    <row r="3235"/>
    <row r="3236"/>
    <row r="3237"/>
    <row r="3238"/>
    <row r="3239"/>
    <row r="3240"/>
    <row r="3241"/>
    <row r="3242"/>
    <row r="3243"/>
    <row r="3244"/>
    <row r="3245"/>
    <row r="3246"/>
    <row r="3247"/>
    <row r="3248"/>
    <row r="3249"/>
    <row r="3250"/>
    <row r="3251"/>
    <row r="3252"/>
    <row r="3253"/>
    <row r="3254"/>
    <row r="3255"/>
    <row r="3256"/>
    <row r="3257"/>
    <row r="3258"/>
    <row r="3259"/>
    <row r="3260"/>
    <row r="3261"/>
    <row r="3262"/>
    <row r="3263"/>
    <row r="3264"/>
    <row r="3265"/>
    <row r="3266"/>
    <row r="3267"/>
    <row r="3268"/>
    <row r="3269"/>
    <row r="3270"/>
    <row r="3271"/>
    <row r="3272"/>
    <row r="3273"/>
    <row r="3274"/>
    <row r="3275"/>
    <row r="3276"/>
    <row r="3277"/>
    <row r="3278"/>
    <row r="3279"/>
    <row r="3280"/>
    <row r="3281"/>
    <row r="3282"/>
    <row r="3283"/>
    <row r="3284"/>
    <row r="3285"/>
    <row r="3286"/>
    <row r="3287"/>
    <row r="3288"/>
    <row r="3289"/>
    <row r="3290"/>
    <row r="3291"/>
    <row r="3292"/>
    <row r="3293"/>
    <row r="3294"/>
    <row r="3295"/>
    <row r="3296"/>
    <row r="3297"/>
    <row r="3298"/>
    <row r="3299"/>
    <row r="3300"/>
    <row r="3301"/>
    <row r="3302"/>
    <row r="3303"/>
    <row r="3304"/>
    <row r="3305"/>
    <row r="3306"/>
    <row r="3307"/>
    <row r="3308"/>
    <row r="3309"/>
    <row r="3310"/>
    <row r="3311"/>
    <row r="3312"/>
    <row r="3313"/>
    <row r="3314"/>
    <row r="3315"/>
    <row r="3316"/>
    <row r="3317"/>
    <row r="3318"/>
    <row r="3319"/>
    <row r="3320"/>
    <row r="3321"/>
    <row r="3322"/>
    <row r="3323"/>
    <row r="3324"/>
    <row r="3325"/>
    <row r="3326"/>
    <row r="3327"/>
    <row r="3328"/>
    <row r="3329"/>
    <row r="3330"/>
    <row r="3331"/>
    <row r="3332"/>
    <row r="3333"/>
    <row r="3334"/>
    <row r="3335"/>
    <row r="3336"/>
    <row r="3337"/>
    <row r="3338"/>
    <row r="3339"/>
    <row r="3340"/>
    <row r="3341"/>
    <row r="3342"/>
    <row r="3343"/>
    <row r="3344"/>
    <row r="3345"/>
    <row r="3346"/>
    <row r="3347"/>
    <row r="3348"/>
    <row r="3349"/>
    <row r="3350"/>
    <row r="3351"/>
    <row r="3352"/>
    <row r="3353"/>
    <row r="3354"/>
    <row r="3355"/>
    <row r="3356"/>
    <row r="3357"/>
    <row r="3358"/>
    <row r="3359"/>
    <row r="3360"/>
    <row r="3361"/>
    <row r="3362"/>
    <row r="3363"/>
    <row r="3364"/>
    <row r="3365"/>
    <row r="3366"/>
    <row r="3367"/>
    <row r="3368"/>
    <row r="3369"/>
    <row r="3370"/>
    <row r="3371"/>
    <row r="3372"/>
    <row r="3373"/>
    <row r="3374"/>
    <row r="3375"/>
    <row r="3376"/>
    <row r="3377"/>
    <row r="3378"/>
    <row r="3379"/>
    <row r="3380"/>
    <row r="3381"/>
    <row r="3382"/>
    <row r="3383"/>
    <row r="3384"/>
    <row r="3385"/>
    <row r="3386"/>
    <row r="3387"/>
    <row r="3388"/>
    <row r="3389"/>
    <row r="3390"/>
    <row r="3391"/>
    <row r="3392"/>
    <row r="3393"/>
    <row r="3394"/>
    <row r="3395"/>
    <row r="3396"/>
    <row r="3397"/>
    <row r="3398"/>
    <row r="3399"/>
    <row r="3400"/>
    <row r="3401"/>
    <row r="3402"/>
    <row r="3403"/>
    <row r="3404"/>
    <row r="3405"/>
    <row r="3406"/>
    <row r="3407"/>
    <row r="3408"/>
    <row r="3409"/>
    <row r="3410"/>
    <row r="3411"/>
    <row r="3412"/>
    <row r="3413"/>
    <row r="3414"/>
    <row r="3415"/>
    <row r="3416"/>
    <row r="3417"/>
    <row r="3418"/>
    <row r="3419"/>
    <row r="3420"/>
    <row r="3421"/>
    <row r="3422"/>
    <row r="3423"/>
    <row r="3424"/>
    <row r="3425"/>
    <row r="3426"/>
    <row r="3427"/>
    <row r="3428"/>
    <row r="3429"/>
    <row r="3430"/>
    <row r="3431"/>
    <row r="3432"/>
    <row r="3433"/>
    <row r="3434"/>
    <row r="3435"/>
    <row r="3436"/>
    <row r="3437"/>
    <row r="3438"/>
    <row r="3439"/>
    <row r="3440"/>
    <row r="3441"/>
    <row r="3442"/>
    <row r="3443"/>
    <row r="3444"/>
    <row r="3445"/>
    <row r="3446"/>
    <row r="3447"/>
    <row r="3448"/>
    <row r="3449"/>
    <row r="3450"/>
    <row r="3451"/>
    <row r="3452"/>
    <row r="3453"/>
    <row r="3454"/>
    <row r="3455"/>
    <row r="3456"/>
    <row r="3457"/>
    <row r="3458"/>
    <row r="3459"/>
    <row r="3460"/>
    <row r="3461"/>
    <row r="3462"/>
    <row r="3463"/>
    <row r="3464"/>
    <row r="3465"/>
    <row r="3466"/>
    <row r="3467"/>
    <row r="3468"/>
    <row r="3469"/>
    <row r="3470"/>
    <row r="3471"/>
    <row r="3472"/>
    <row r="3473"/>
    <row r="3474"/>
    <row r="3475"/>
    <row r="3476"/>
    <row r="3477"/>
    <row r="3478"/>
    <row r="3479"/>
    <row r="3480"/>
    <row r="3481"/>
    <row r="3482"/>
    <row r="3483"/>
    <row r="3484"/>
    <row r="3485"/>
    <row r="3486"/>
    <row r="3487"/>
    <row r="3488"/>
    <row r="3489"/>
    <row r="3490"/>
    <row r="3491"/>
    <row r="3492"/>
    <row r="3493"/>
    <row r="3494"/>
    <row r="3495"/>
    <row r="3496"/>
    <row r="3497"/>
    <row r="3498"/>
    <row r="3499"/>
    <row r="3500"/>
    <row r="3501"/>
    <row r="3502"/>
    <row r="3503"/>
    <row r="3504"/>
    <row r="3505"/>
    <row r="3506"/>
    <row r="3507"/>
    <row r="3508"/>
    <row r="3509"/>
    <row r="3510"/>
    <row r="3511"/>
    <row r="3512"/>
    <row r="3513"/>
    <row r="3514"/>
    <row r="3515"/>
    <row r="3516"/>
    <row r="3517"/>
    <row r="3518"/>
    <row r="3519"/>
    <row r="3520"/>
    <row r="3521"/>
    <row r="3522"/>
    <row r="3523"/>
    <row r="3524"/>
    <row r="3525"/>
    <row r="3526"/>
    <row r="3527"/>
    <row r="3528"/>
    <row r="3529"/>
    <row r="3530"/>
    <row r="3531"/>
    <row r="3532"/>
    <row r="3533"/>
    <row r="3534"/>
    <row r="3535"/>
    <row r="3536"/>
    <row r="3537"/>
    <row r="3538"/>
    <row r="3539"/>
    <row r="3540"/>
    <row r="3541"/>
    <row r="3542"/>
    <row r="3543"/>
    <row r="3544"/>
    <row r="3545"/>
    <row r="3546"/>
    <row r="3547"/>
    <row r="3548"/>
    <row r="3549"/>
    <row r="3550"/>
    <row r="3551"/>
    <row r="3552"/>
    <row r="3553"/>
    <row r="3554"/>
    <row r="3555"/>
    <row r="3556"/>
    <row r="3557"/>
    <row r="3558"/>
    <row r="3559"/>
    <row r="3560"/>
    <row r="3561"/>
    <row r="3562"/>
    <row r="3563"/>
    <row r="3564"/>
    <row r="3565"/>
    <row r="3566"/>
    <row r="3567"/>
    <row r="3568"/>
    <row r="3569"/>
    <row r="3570"/>
    <row r="3571"/>
    <row r="3572"/>
    <row r="3573"/>
    <row r="3574"/>
    <row r="3575"/>
    <row r="3576"/>
    <row r="3577"/>
    <row r="3578"/>
    <row r="3579"/>
    <row r="3580"/>
    <row r="3581"/>
    <row r="3582"/>
    <row r="3583"/>
    <row r="3584"/>
    <row r="3585"/>
    <row r="3586"/>
    <row r="3587"/>
    <row r="3588"/>
    <row r="3589"/>
    <row r="3590"/>
    <row r="3591"/>
    <row r="3592"/>
    <row r="3593"/>
    <row r="3594"/>
    <row r="3595"/>
    <row r="3596"/>
    <row r="3597"/>
    <row r="3598"/>
    <row r="3599"/>
    <row r="3600"/>
    <row r="3601"/>
    <row r="3602"/>
    <row r="3603"/>
    <row r="3604"/>
    <row r="3605"/>
    <row r="3606"/>
    <row r="3607"/>
    <row r="3608"/>
    <row r="3609"/>
    <row r="3610"/>
    <row r="3611"/>
    <row r="3612"/>
    <row r="3613"/>
    <row r="3614"/>
    <row r="3615"/>
    <row r="3616"/>
    <row r="3617"/>
    <row r="3618"/>
    <row r="3619"/>
    <row r="3620"/>
    <row r="3621"/>
    <row r="3622"/>
    <row r="3623"/>
    <row r="3624"/>
    <row r="3625"/>
    <row r="3626"/>
    <row r="3627"/>
    <row r="3628"/>
    <row r="3629"/>
    <row r="3630"/>
    <row r="3631"/>
    <row r="3632"/>
    <row r="3633"/>
    <row r="3634"/>
    <row r="3635"/>
    <row r="3636"/>
    <row r="3637"/>
    <row r="3638"/>
    <row r="3639"/>
    <row r="3640"/>
    <row r="3641"/>
    <row r="3642"/>
    <row r="3643"/>
    <row r="3644"/>
    <row r="3645"/>
    <row r="3646"/>
    <row r="3647"/>
    <row r="3648"/>
    <row r="3649"/>
    <row r="3650"/>
    <row r="3651"/>
    <row r="3652"/>
    <row r="3653"/>
    <row r="3654"/>
    <row r="3655"/>
    <row r="3656"/>
    <row r="3657"/>
    <row r="3658"/>
    <row r="3659"/>
    <row r="3660"/>
    <row r="3661"/>
    <row r="3662"/>
    <row r="3663"/>
    <row r="3664"/>
    <row r="3665"/>
    <row r="3666"/>
    <row r="3667"/>
    <row r="3668"/>
    <row r="3669"/>
    <row r="3670"/>
    <row r="3671"/>
    <row r="3672"/>
    <row r="3673"/>
    <row r="3674"/>
    <row r="3675"/>
    <row r="3676"/>
    <row r="3677"/>
    <row r="3678"/>
    <row r="3679"/>
    <row r="3680"/>
    <row r="3681"/>
    <row r="3682"/>
    <row r="3683"/>
    <row r="3684"/>
    <row r="3685"/>
    <row r="3686"/>
    <row r="3687"/>
    <row r="3688"/>
    <row r="3689"/>
    <row r="3690"/>
    <row r="3691"/>
    <row r="3692"/>
    <row r="3693"/>
    <row r="3694"/>
    <row r="3695"/>
    <row r="3696"/>
    <row r="3697"/>
    <row r="3698"/>
    <row r="3699"/>
    <row r="3700"/>
    <row r="3701"/>
    <row r="3702"/>
    <row r="3703"/>
    <row r="3704"/>
    <row r="3705"/>
    <row r="3706"/>
    <row r="3707"/>
    <row r="3708"/>
    <row r="3709"/>
    <row r="3710"/>
    <row r="3711"/>
    <row r="3712"/>
    <row r="3713"/>
    <row r="3714"/>
    <row r="3715"/>
    <row r="3716"/>
    <row r="3717"/>
    <row r="3718"/>
    <row r="3719"/>
    <row r="3720"/>
    <row r="3721"/>
    <row r="3722"/>
    <row r="3723"/>
    <row r="3724"/>
    <row r="3725"/>
    <row r="3726"/>
    <row r="3727"/>
    <row r="3728"/>
    <row r="3729"/>
    <row r="3730"/>
    <row r="3731"/>
    <row r="3732"/>
    <row r="3733"/>
    <row r="3734"/>
    <row r="3735"/>
    <row r="3736"/>
    <row r="3737"/>
    <row r="3738"/>
    <row r="3739"/>
    <row r="3740"/>
    <row r="3741"/>
    <row r="3742"/>
    <row r="3743"/>
    <row r="3744"/>
    <row r="3745"/>
    <row r="3746"/>
    <row r="3747"/>
    <row r="3748"/>
    <row r="3749"/>
    <row r="3750"/>
    <row r="3751"/>
    <row r="3752"/>
    <row r="3753"/>
    <row r="3754"/>
    <row r="3755"/>
    <row r="3756"/>
    <row r="3757"/>
    <row r="3758"/>
    <row r="3759"/>
    <row r="3760"/>
    <row r="3761"/>
    <row r="3762"/>
    <row r="3763"/>
    <row r="3764"/>
    <row r="3765"/>
    <row r="3766"/>
    <row r="3767"/>
    <row r="3768"/>
    <row r="3769"/>
    <row r="3770"/>
    <row r="3771"/>
    <row r="3772"/>
    <row r="3773"/>
    <row r="3774"/>
    <row r="3775"/>
    <row r="3776"/>
    <row r="3777"/>
    <row r="3778"/>
    <row r="3779"/>
    <row r="3780"/>
    <row r="3781"/>
    <row r="3782"/>
    <row r="3783"/>
    <row r="3784"/>
    <row r="3785"/>
    <row r="3786"/>
    <row r="3787"/>
    <row r="3788"/>
    <row r="3789"/>
    <row r="3790"/>
    <row r="3791"/>
    <row r="3792"/>
    <row r="3793"/>
    <row r="3794"/>
    <row r="3795"/>
    <row r="3796"/>
    <row r="3797"/>
    <row r="3798"/>
    <row r="3799"/>
    <row r="3800"/>
    <row r="3801"/>
    <row r="3802"/>
    <row r="3803"/>
    <row r="3804"/>
    <row r="3805"/>
    <row r="3806"/>
    <row r="3807"/>
    <row r="3808"/>
    <row r="3809"/>
    <row r="3810"/>
    <row r="3811"/>
    <row r="3812"/>
    <row r="3813"/>
    <row r="3814"/>
    <row r="3815"/>
    <row r="3816"/>
    <row r="3817"/>
    <row r="3818"/>
    <row r="3819"/>
    <row r="3820"/>
    <row r="3821"/>
    <row r="3822"/>
    <row r="3823"/>
    <row r="3824"/>
    <row r="3825"/>
    <row r="3826"/>
    <row r="3827"/>
    <row r="3828"/>
    <row r="3829"/>
    <row r="3830"/>
    <row r="3831"/>
    <row r="3832"/>
    <row r="3833"/>
    <row r="3834"/>
    <row r="3835"/>
    <row r="3836"/>
    <row r="3837"/>
    <row r="3838"/>
    <row r="3839"/>
    <row r="3840"/>
    <row r="3841"/>
    <row r="3842"/>
    <row r="3843"/>
    <row r="3844"/>
    <row r="3845"/>
    <row r="3846"/>
    <row r="3847"/>
    <row r="3848"/>
    <row r="3849"/>
    <row r="3850"/>
    <row r="3851"/>
    <row r="3852"/>
    <row r="3853"/>
    <row r="3854"/>
    <row r="3855"/>
    <row r="3856"/>
    <row r="3857"/>
    <row r="3858"/>
    <row r="3859"/>
    <row r="3860"/>
    <row r="3861"/>
    <row r="3862"/>
    <row r="3863"/>
    <row r="3864"/>
    <row r="3865"/>
    <row r="3866"/>
    <row r="3867"/>
    <row r="3868"/>
    <row r="3869"/>
    <row r="3870"/>
    <row r="3871"/>
    <row r="3872"/>
    <row r="3873"/>
    <row r="3874"/>
    <row r="3875"/>
    <row r="3876"/>
    <row r="3877"/>
    <row r="3878"/>
    <row r="3879"/>
    <row r="3880"/>
    <row r="3881"/>
    <row r="3882"/>
    <row r="3883"/>
    <row r="3884"/>
    <row r="3885"/>
    <row r="3886"/>
    <row r="3887"/>
    <row r="3888"/>
    <row r="3889"/>
    <row r="3890"/>
    <row r="3891"/>
    <row r="3892"/>
    <row r="3893"/>
    <row r="3894"/>
    <row r="3895"/>
    <row r="3896"/>
    <row r="3897"/>
    <row r="3898"/>
    <row r="3899"/>
    <row r="3900"/>
    <row r="3901"/>
    <row r="3902"/>
    <row r="3903"/>
    <row r="3904"/>
    <row r="3905"/>
    <row r="3906"/>
    <row r="3907"/>
    <row r="3908"/>
    <row r="3909"/>
    <row r="3910"/>
    <row r="3911"/>
    <row r="3912"/>
    <row r="3913"/>
    <row r="3914"/>
    <row r="3915"/>
    <row r="3916"/>
    <row r="3917"/>
    <row r="3918"/>
    <row r="3919"/>
    <row r="3920"/>
    <row r="3921"/>
    <row r="3922"/>
    <row r="3923"/>
    <row r="3924"/>
    <row r="3925"/>
    <row r="3926"/>
    <row r="3927"/>
    <row r="3928"/>
    <row r="3929"/>
    <row r="3930"/>
    <row r="3931"/>
    <row r="3932"/>
    <row r="3933"/>
    <row r="3934"/>
    <row r="3935"/>
    <row r="3936"/>
    <row r="3937"/>
    <row r="3938"/>
    <row r="3939"/>
    <row r="3940"/>
    <row r="3941"/>
    <row r="3942"/>
    <row r="3943"/>
    <row r="3944"/>
    <row r="3945"/>
    <row r="3946"/>
    <row r="3947"/>
    <row r="3948"/>
    <row r="3949"/>
    <row r="3950"/>
    <row r="3951"/>
    <row r="3952"/>
    <row r="3953"/>
    <row r="3954"/>
    <row r="3955"/>
    <row r="3956"/>
    <row r="3957"/>
    <row r="3958"/>
    <row r="3959"/>
    <row r="3960"/>
    <row r="3961"/>
    <row r="3962"/>
    <row r="3963"/>
    <row r="3964"/>
    <row r="3965"/>
    <row r="3966"/>
    <row r="3967"/>
    <row r="3968"/>
    <row r="3969"/>
    <row r="3970"/>
    <row r="3971"/>
    <row r="3972"/>
    <row r="3973"/>
    <row r="3974"/>
    <row r="3975"/>
    <row r="3976"/>
    <row r="3977"/>
    <row r="3978"/>
    <row r="3979"/>
    <row r="3980"/>
    <row r="3981"/>
    <row r="3982"/>
    <row r="3983"/>
    <row r="3984"/>
    <row r="3985"/>
    <row r="3986"/>
    <row r="3987"/>
    <row r="3988"/>
    <row r="3989"/>
    <row r="3990"/>
    <row r="3991"/>
    <row r="3992"/>
    <row r="3993"/>
    <row r="3994"/>
    <row r="3995"/>
    <row r="3996"/>
    <row r="3997"/>
    <row r="3998"/>
    <row r="3999"/>
    <row r="4000"/>
    <row r="4001"/>
    <row r="4002"/>
    <row r="4003"/>
    <row r="4004"/>
    <row r="4005"/>
    <row r="4006"/>
    <row r="4007"/>
    <row r="4008"/>
    <row r="4009"/>
    <row r="4010"/>
    <row r="4011"/>
    <row r="4012"/>
    <row r="4013"/>
    <row r="4014"/>
    <row r="4015"/>
    <row r="4016"/>
    <row r="4017"/>
    <row r="4018"/>
    <row r="4019"/>
    <row r="4020"/>
    <row r="4021"/>
    <row r="4022"/>
    <row r="4023"/>
    <row r="4024"/>
    <row r="4025"/>
    <row r="4026"/>
    <row r="4027"/>
    <row r="4028"/>
    <row r="4029"/>
    <row r="4030"/>
    <row r="4031"/>
    <row r="4032"/>
    <row r="4033"/>
    <row r="4034"/>
    <row r="4035"/>
    <row r="4036"/>
    <row r="4037"/>
    <row r="4038"/>
    <row r="4039"/>
    <row r="4040"/>
    <row r="4041"/>
    <row r="4042"/>
    <row r="4043"/>
    <row r="4044"/>
    <row r="4045"/>
    <row r="4046"/>
    <row r="4047"/>
    <row r="4048"/>
    <row r="4049"/>
    <row r="4050"/>
    <row r="4051"/>
    <row r="4052"/>
    <row r="4053"/>
    <row r="4054"/>
    <row r="4055"/>
    <row r="4056"/>
    <row r="4057"/>
    <row r="4058"/>
    <row r="4059"/>
    <row r="4060"/>
    <row r="4061"/>
    <row r="4062"/>
    <row r="4063"/>
    <row r="4064"/>
    <row r="4065"/>
    <row r="4066"/>
    <row r="4067"/>
    <row r="4068"/>
    <row r="4069"/>
    <row r="4070"/>
    <row r="4071"/>
    <row r="4072"/>
    <row r="4073"/>
    <row r="4074"/>
    <row r="4075"/>
    <row r="4076"/>
    <row r="4077"/>
    <row r="4078"/>
    <row r="4079"/>
    <row r="4080"/>
    <row r="4081"/>
    <row r="4082"/>
    <row r="4083"/>
    <row r="4084"/>
    <row r="4085"/>
    <row r="4086"/>
    <row r="4087"/>
    <row r="4088"/>
    <row r="4089"/>
    <row r="4090"/>
    <row r="4091"/>
    <row r="4092"/>
    <row r="4093"/>
    <row r="4094"/>
    <row r="4095"/>
    <row r="4096"/>
    <row r="4097"/>
    <row r="4098"/>
    <row r="4099"/>
    <row r="4100"/>
    <row r="4101"/>
    <row r="4102"/>
    <row r="4103"/>
    <row r="4104"/>
    <row r="4105"/>
    <row r="4106"/>
    <row r="4107"/>
    <row r="4108"/>
    <row r="4109"/>
    <row r="4110"/>
    <row r="4111"/>
    <row r="4112"/>
    <row r="4113"/>
    <row r="4114"/>
    <row r="4115"/>
    <row r="4116"/>
    <row r="4117"/>
    <row r="4118"/>
    <row r="4119"/>
    <row r="4120"/>
    <row r="4121"/>
    <row r="4122"/>
    <row r="4123"/>
    <row r="4124"/>
    <row r="4125"/>
    <row r="4126"/>
    <row r="4127"/>
    <row r="4128"/>
    <row r="4129"/>
    <row r="4130"/>
    <row r="4131"/>
    <row r="4132"/>
    <row r="4133"/>
    <row r="4134"/>
    <row r="4135"/>
    <row r="4136"/>
    <row r="4137"/>
    <row r="4138"/>
    <row r="4139"/>
    <row r="4140"/>
    <row r="4141"/>
    <row r="4142"/>
    <row r="4143"/>
    <row r="4144"/>
    <row r="4145"/>
    <row r="4146"/>
    <row r="4147"/>
    <row r="4148"/>
    <row r="4149"/>
    <row r="4150"/>
    <row r="4151"/>
    <row r="4152"/>
    <row r="4153"/>
    <row r="4154"/>
    <row r="4155"/>
    <row r="4156"/>
    <row r="4157"/>
    <row r="4158"/>
    <row r="4159"/>
    <row r="4160"/>
    <row r="4161"/>
    <row r="4162"/>
    <row r="4163"/>
    <row r="4164"/>
    <row r="4165"/>
    <row r="4166"/>
    <row r="4167"/>
    <row r="4168"/>
    <row r="4169"/>
    <row r="4170"/>
    <row r="4171"/>
    <row r="4172"/>
    <row r="4173"/>
    <row r="4174"/>
    <row r="4175"/>
    <row r="4176"/>
    <row r="4177"/>
    <row r="4178"/>
    <row r="4179"/>
    <row r="4180"/>
    <row r="4181"/>
    <row r="4182"/>
    <row r="4183"/>
    <row r="4184"/>
    <row r="4185"/>
    <row r="4186"/>
    <row r="4187"/>
    <row r="4188"/>
    <row r="4189"/>
    <row r="4190"/>
    <row r="4191"/>
    <row r="4192"/>
    <row r="4193"/>
    <row r="4194"/>
    <row r="4195"/>
    <row r="4196"/>
    <row r="4197"/>
    <row r="4198"/>
    <row r="4199"/>
    <row r="4200"/>
    <row r="4201"/>
    <row r="4202"/>
    <row r="4203"/>
    <row r="4204"/>
    <row r="4205"/>
    <row r="4206"/>
    <row r="4207"/>
    <row r="4208"/>
    <row r="4209"/>
    <row r="4210"/>
    <row r="4211"/>
    <row r="4212"/>
    <row r="4213"/>
    <row r="4214"/>
    <row r="4215"/>
    <row r="4216"/>
    <row r="4217"/>
    <row r="4218"/>
    <row r="4219"/>
    <row r="4220"/>
    <row r="4221"/>
    <row r="4222"/>
    <row r="4223"/>
    <row r="4224"/>
    <row r="4225"/>
    <row r="4226"/>
    <row r="4227"/>
    <row r="4228"/>
    <row r="4229"/>
    <row r="4230"/>
    <row r="4231"/>
    <row r="4232"/>
    <row r="4233"/>
    <row r="4234"/>
    <row r="4235"/>
    <row r="4236"/>
    <row r="4237"/>
    <row r="4238"/>
    <row r="4239"/>
    <row r="4240"/>
    <row r="4241"/>
    <row r="4242"/>
    <row r="4243"/>
    <row r="4244"/>
    <row r="4245"/>
    <row r="4246"/>
    <row r="4247"/>
    <row r="4248"/>
    <row r="4249"/>
    <row r="4250"/>
    <row r="4251"/>
    <row r="4252"/>
    <row r="4253"/>
    <row r="4254"/>
    <row r="4255"/>
    <row r="4256"/>
    <row r="4257"/>
    <row r="4258"/>
    <row r="4259"/>
    <row r="4260"/>
    <row r="4261"/>
    <row r="4262"/>
    <row r="4263"/>
    <row r="4264"/>
    <row r="4265"/>
    <row r="4266"/>
    <row r="4267"/>
    <row r="4268"/>
    <row r="4269"/>
    <row r="4270"/>
    <row r="4271"/>
    <row r="4272"/>
    <row r="4273"/>
    <row r="4274"/>
    <row r="4275"/>
    <row r="4276"/>
    <row r="4277"/>
    <row r="4278"/>
    <row r="4279"/>
    <row r="4280"/>
    <row r="4281"/>
    <row r="4282"/>
    <row r="4283"/>
    <row r="4284"/>
    <row r="4285"/>
    <row r="4286"/>
    <row r="4287"/>
    <row r="4288"/>
    <row r="4289"/>
    <row r="4290"/>
    <row r="4291"/>
    <row r="4292"/>
    <row r="4293"/>
    <row r="4294"/>
    <row r="4295"/>
    <row r="4296"/>
    <row r="4297"/>
    <row r="4298"/>
    <row r="4299"/>
    <row r="4300"/>
    <row r="4301"/>
    <row r="4302"/>
    <row r="4303"/>
    <row r="4304"/>
    <row r="4305"/>
    <row r="4306"/>
    <row r="4307"/>
    <row r="4308"/>
    <row r="4309"/>
    <row r="4310"/>
    <row r="4311"/>
    <row r="4312"/>
    <row r="4313"/>
    <row r="4314"/>
    <row r="4315"/>
    <row r="4316"/>
    <row r="4317"/>
    <row r="4318"/>
    <row r="4319"/>
    <row r="4320"/>
    <row r="4321"/>
    <row r="4322"/>
    <row r="4323"/>
    <row r="4324"/>
    <row r="4325"/>
    <row r="4326"/>
    <row r="4327"/>
    <row r="4328"/>
    <row r="4329"/>
    <row r="4330"/>
    <row r="4331"/>
    <row r="4332"/>
    <row r="4333"/>
    <row r="4334"/>
    <row r="4335"/>
    <row r="4336"/>
    <row r="4337"/>
    <row r="4338"/>
    <row r="4339"/>
    <row r="4340"/>
    <row r="4341"/>
    <row r="4342"/>
    <row r="4343"/>
    <row r="4344"/>
    <row r="4345"/>
    <row r="4346"/>
    <row r="4347"/>
    <row r="4348"/>
    <row r="4349"/>
    <row r="4350"/>
    <row r="4351"/>
    <row r="4352"/>
    <row r="4353"/>
    <row r="4354"/>
    <row r="4355"/>
    <row r="4356"/>
    <row r="4357"/>
    <row r="4358"/>
    <row r="4359"/>
    <row r="4360"/>
    <row r="4361"/>
    <row r="4362"/>
    <row r="4363"/>
    <row r="4364"/>
    <row r="4365"/>
    <row r="4366"/>
    <row r="4367"/>
    <row r="4368"/>
    <row r="4369"/>
    <row r="4370"/>
    <row r="4371"/>
    <row r="4372"/>
    <row r="4373"/>
    <row r="4374"/>
    <row r="4375"/>
    <row r="4376"/>
    <row r="4377"/>
    <row r="4378"/>
    <row r="4379"/>
    <row r="4380"/>
    <row r="4381"/>
    <row r="4382"/>
    <row r="4383"/>
    <row r="4384"/>
    <row r="4385"/>
    <row r="4386"/>
    <row r="4387"/>
    <row r="4388"/>
    <row r="4389"/>
    <row r="4390"/>
    <row r="4391"/>
    <row r="4392"/>
    <row r="4393"/>
    <row r="4394"/>
    <row r="4395"/>
    <row r="4396"/>
    <row r="4397"/>
    <row r="4398"/>
    <row r="4399"/>
    <row r="4400"/>
    <row r="4401"/>
    <row r="4402"/>
    <row r="4403"/>
    <row r="4404"/>
    <row r="4405"/>
    <row r="4406"/>
    <row r="4407"/>
    <row r="4408"/>
    <row r="4409"/>
    <row r="4410"/>
    <row r="4411"/>
    <row r="4412"/>
    <row r="4413"/>
    <row r="4414"/>
    <row r="4415"/>
    <row r="4416"/>
    <row r="4417"/>
    <row r="4418"/>
    <row r="4419"/>
    <row r="4420"/>
    <row r="4421"/>
    <row r="4422"/>
    <row r="4423"/>
    <row r="4424"/>
    <row r="4425"/>
    <row r="4426"/>
    <row r="4427"/>
    <row r="4428"/>
    <row r="4429"/>
    <row r="4430"/>
    <row r="4431"/>
    <row r="4432"/>
    <row r="4433"/>
    <row r="4434"/>
    <row r="4435"/>
    <row r="4436"/>
    <row r="4437"/>
    <row r="4438"/>
    <row r="4439"/>
    <row r="4440"/>
    <row r="4441"/>
    <row r="4442"/>
    <row r="4443"/>
    <row r="4444"/>
    <row r="4445"/>
    <row r="4446"/>
    <row r="4447"/>
    <row r="4448"/>
    <row r="4449"/>
    <row r="4450"/>
    <row r="4451"/>
    <row r="4452"/>
    <row r="4453"/>
    <row r="4454"/>
    <row r="4455"/>
    <row r="4456"/>
    <row r="4457"/>
    <row r="4458"/>
    <row r="4459"/>
    <row r="4460"/>
    <row r="4461"/>
    <row r="4462"/>
    <row r="4463"/>
    <row r="4464"/>
    <row r="4465"/>
    <row r="4466"/>
    <row r="4467"/>
    <row r="4468"/>
    <row r="4469"/>
    <row r="4470"/>
    <row r="4471"/>
    <row r="4472"/>
    <row r="4473"/>
    <row r="4474"/>
    <row r="4475"/>
    <row r="4476"/>
    <row r="4477"/>
    <row r="4478"/>
    <row r="4479"/>
    <row r="4480"/>
    <row r="4481"/>
    <row r="4482"/>
    <row r="4483"/>
    <row r="4484"/>
    <row r="4485"/>
    <row r="4486"/>
    <row r="4487"/>
    <row r="4488"/>
    <row r="4489"/>
    <row r="4490"/>
    <row r="4491"/>
    <row r="4492"/>
    <row r="4493"/>
    <row r="4494"/>
    <row r="4495"/>
    <row r="4496"/>
    <row r="4497"/>
    <row r="4498"/>
    <row r="4499"/>
    <row r="4500"/>
    <row r="4501"/>
    <row r="4502"/>
    <row r="4503"/>
    <row r="4504"/>
    <row r="4505"/>
    <row r="4506"/>
    <row r="4507"/>
    <row r="4508"/>
    <row r="4509"/>
    <row r="4510"/>
    <row r="4511"/>
    <row r="4512"/>
    <row r="4513"/>
    <row r="4514"/>
    <row r="4515"/>
    <row r="4516"/>
    <row r="4517"/>
    <row r="4518"/>
    <row r="4519"/>
    <row r="4520"/>
    <row r="4521"/>
    <row r="4522"/>
    <row r="4523"/>
    <row r="4524"/>
    <row r="4525"/>
    <row r="4526"/>
    <row r="4527"/>
    <row r="4528"/>
    <row r="4529"/>
    <row r="4530"/>
    <row r="4531"/>
    <row r="4532"/>
    <row r="4533"/>
    <row r="4534"/>
    <row r="4535"/>
    <row r="4536"/>
    <row r="4537"/>
    <row r="4538"/>
    <row r="4539"/>
    <row r="4540"/>
    <row r="4541"/>
    <row r="4542"/>
    <row r="4543"/>
    <row r="4544"/>
    <row r="4545"/>
    <row r="4546"/>
    <row r="4547"/>
    <row r="4548"/>
    <row r="4549"/>
    <row r="4550"/>
    <row r="4551"/>
    <row r="4552"/>
    <row r="4553"/>
    <row r="4554"/>
    <row r="4555"/>
    <row r="4556"/>
    <row r="4557"/>
    <row r="4558"/>
    <row r="4559"/>
    <row r="4560"/>
    <row r="4561"/>
    <row r="4562"/>
    <row r="4563"/>
    <row r="4564"/>
    <row r="4565"/>
    <row r="4566"/>
    <row r="4567"/>
    <row r="4568"/>
    <row r="4569"/>
    <row r="4570"/>
    <row r="4571"/>
    <row r="4572"/>
    <row r="4573"/>
    <row r="4574"/>
    <row r="4575"/>
    <row r="4576"/>
    <row r="4577"/>
    <row r="4578"/>
    <row r="4579"/>
    <row r="4580"/>
    <row r="4581"/>
    <row r="4582"/>
    <row r="4583"/>
    <row r="4584"/>
    <row r="4585"/>
    <row r="4586"/>
    <row r="4587"/>
    <row r="4588"/>
    <row r="4589"/>
    <row r="4590"/>
    <row r="4591"/>
    <row r="4592"/>
    <row r="4593"/>
    <row r="4594"/>
    <row r="4595"/>
    <row r="4596"/>
    <row r="4597"/>
    <row r="4598"/>
    <row r="4599"/>
    <row r="4600"/>
    <row r="4601"/>
    <row r="4602"/>
    <row r="4603"/>
    <row r="4604"/>
    <row r="4605"/>
    <row r="4606"/>
    <row r="4607"/>
    <row r="4608"/>
    <row r="4609"/>
    <row r="4610"/>
    <row r="4611"/>
    <row r="4612"/>
    <row r="4613"/>
    <row r="4614"/>
    <row r="4615"/>
    <row r="4616"/>
    <row r="4617"/>
    <row r="4618"/>
    <row r="4619"/>
    <row r="4620"/>
    <row r="4621"/>
    <row r="4622"/>
    <row r="4623"/>
    <row r="4624"/>
    <row r="4625"/>
    <row r="4626"/>
    <row r="4627"/>
    <row r="4628"/>
    <row r="4629"/>
    <row r="4630"/>
    <row r="4631"/>
    <row r="4632"/>
    <row r="4633"/>
    <row r="4634"/>
    <row r="4635"/>
    <row r="4636"/>
    <row r="4637"/>
    <row r="4638"/>
    <row r="4639"/>
    <row r="4640"/>
    <row r="4641"/>
    <row r="4642"/>
    <row r="4643"/>
    <row r="4644"/>
    <row r="4645"/>
    <row r="4646"/>
    <row r="4647"/>
    <row r="4648"/>
    <row r="4649"/>
    <row r="4650"/>
    <row r="4651"/>
    <row r="4652"/>
    <row r="4653"/>
    <row r="4654"/>
    <row r="4655"/>
    <row r="4656"/>
    <row r="4657"/>
    <row r="4658"/>
    <row r="4659"/>
    <row r="4660"/>
    <row r="4661"/>
    <row r="4662"/>
    <row r="4663"/>
    <row r="4664"/>
    <row r="4665"/>
    <row r="4666"/>
    <row r="4667"/>
    <row r="4668"/>
    <row r="4669"/>
    <row r="4670"/>
    <row r="4671"/>
    <row r="4672"/>
    <row r="4673"/>
    <row r="4674"/>
    <row r="4675"/>
    <row r="4676"/>
    <row r="4677"/>
    <row r="4678"/>
    <row r="4679"/>
    <row r="4680"/>
    <row r="4681"/>
    <row r="4682"/>
    <row r="4683"/>
    <row r="4684"/>
    <row r="4685"/>
    <row r="4686"/>
    <row r="4687"/>
    <row r="4688"/>
    <row r="4689"/>
    <row r="4690"/>
    <row r="4691"/>
    <row r="4692"/>
    <row r="4693"/>
    <row r="4694"/>
    <row r="4695"/>
    <row r="4696"/>
    <row r="4697"/>
    <row r="4698"/>
    <row r="4699"/>
    <row r="4700"/>
    <row r="4701"/>
    <row r="4702"/>
    <row r="4703"/>
    <row r="4704"/>
    <row r="4705"/>
    <row r="4706"/>
    <row r="4707"/>
    <row r="4708"/>
    <row r="4709"/>
    <row r="4710"/>
    <row r="4711"/>
    <row r="4712"/>
    <row r="4713"/>
    <row r="4714"/>
    <row r="4715"/>
    <row r="4716"/>
    <row r="4717"/>
    <row r="4718"/>
    <row r="4719"/>
    <row r="4720"/>
    <row r="4721"/>
    <row r="4722"/>
    <row r="4723"/>
    <row r="4724"/>
    <row r="4725"/>
    <row r="4726"/>
    <row r="4727"/>
    <row r="4728"/>
    <row r="4729"/>
    <row r="4730"/>
    <row r="4731"/>
    <row r="4732"/>
    <row r="4733"/>
    <row r="4734"/>
    <row r="4735"/>
    <row r="4736"/>
    <row r="4737"/>
    <row r="4738"/>
    <row r="4739"/>
    <row r="4740"/>
    <row r="4741"/>
    <row r="4742"/>
    <row r="4743"/>
    <row r="4744"/>
    <row r="4745"/>
    <row r="4746"/>
    <row r="4747"/>
    <row r="4748"/>
    <row r="4749"/>
    <row r="4750"/>
    <row r="4751"/>
    <row r="4752"/>
    <row r="4753"/>
    <row r="4754"/>
    <row r="4755"/>
    <row r="4756"/>
    <row r="4757"/>
    <row r="4758"/>
    <row r="4759"/>
    <row r="4760"/>
    <row r="4761"/>
    <row r="4762"/>
    <row r="4763"/>
    <row r="4764"/>
    <row r="4765"/>
    <row r="4766"/>
    <row r="4767"/>
    <row r="4768"/>
    <row r="4769"/>
    <row r="4770"/>
    <row r="4771"/>
    <row r="4772"/>
    <row r="4773"/>
    <row r="4774"/>
    <row r="4775"/>
    <row r="4776"/>
    <row r="4777"/>
    <row r="4778"/>
    <row r="4779"/>
    <row r="4780"/>
    <row r="4781"/>
    <row r="4782"/>
    <row r="4783"/>
    <row r="4784"/>
    <row r="4785"/>
    <row r="4786"/>
    <row r="4787"/>
    <row r="4788"/>
    <row r="4789"/>
    <row r="4790"/>
    <row r="4791"/>
    <row r="4792"/>
    <row r="4793"/>
    <row r="4794"/>
    <row r="4795"/>
    <row r="4796"/>
    <row r="4797"/>
    <row r="4798"/>
    <row r="4799"/>
    <row r="4800"/>
    <row r="4801"/>
    <row r="4802"/>
    <row r="4803"/>
    <row r="4804"/>
    <row r="4805"/>
    <row r="4806"/>
    <row r="4807"/>
    <row r="4808"/>
    <row r="4809"/>
    <row r="4810"/>
    <row r="4811"/>
    <row r="4812"/>
    <row r="4813"/>
    <row r="4814"/>
    <row r="4815"/>
    <row r="4816"/>
    <row r="4817"/>
    <row r="4818"/>
    <row r="4819"/>
    <row r="4820"/>
    <row r="4821"/>
    <row r="4822"/>
    <row r="4823"/>
    <row r="4824"/>
    <row r="4825"/>
    <row r="4826"/>
    <row r="4827"/>
    <row r="4828"/>
    <row r="4829"/>
    <row r="4830"/>
    <row r="4831"/>
    <row r="4832"/>
    <row r="4833"/>
    <row r="4834"/>
    <row r="4835"/>
    <row r="4836"/>
    <row r="4837"/>
    <row r="4838"/>
    <row r="4839"/>
    <row r="4840"/>
    <row r="4841"/>
    <row r="4842"/>
    <row r="4843"/>
    <row r="4844"/>
    <row r="4845"/>
    <row r="4846"/>
    <row r="4847"/>
    <row r="4848"/>
    <row r="4849"/>
    <row r="4850"/>
    <row r="4851"/>
    <row r="4852"/>
    <row r="4853"/>
    <row r="4854"/>
    <row r="4855"/>
    <row r="4856"/>
    <row r="4857"/>
    <row r="4858"/>
    <row r="4859"/>
    <row r="4860"/>
    <row r="4861"/>
    <row r="4862"/>
    <row r="4863"/>
    <row r="4864"/>
    <row r="4865"/>
    <row r="4866"/>
    <row r="4867"/>
    <row r="4868"/>
    <row r="4869"/>
    <row r="4870"/>
    <row r="4871"/>
    <row r="4872"/>
    <row r="4873"/>
    <row r="4874"/>
    <row r="4875"/>
    <row r="4876"/>
    <row r="4877"/>
    <row r="4878"/>
    <row r="4879"/>
    <row r="4880"/>
    <row r="4881"/>
    <row r="4882"/>
    <row r="4883"/>
    <row r="4884"/>
    <row r="4885"/>
    <row r="4886"/>
    <row r="4887"/>
    <row r="4888"/>
    <row r="4889"/>
    <row r="4890"/>
    <row r="4891"/>
    <row r="4892"/>
    <row r="4893"/>
    <row r="4894"/>
    <row r="4895"/>
    <row r="4896"/>
    <row r="4897"/>
    <row r="4898"/>
    <row r="4899"/>
    <row r="4900"/>
    <row r="4901"/>
    <row r="4902"/>
    <row r="4903"/>
    <row r="4904"/>
    <row r="4905"/>
    <row r="4906"/>
    <row r="4907"/>
    <row r="4908"/>
    <row r="4909"/>
    <row r="4910"/>
    <row r="4911"/>
    <row r="4912"/>
    <row r="4913"/>
    <row r="4914"/>
    <row r="4915"/>
    <row r="4916"/>
    <row r="4917"/>
    <row r="4918"/>
    <row r="4919"/>
    <row r="4920"/>
    <row r="4921"/>
    <row r="4922"/>
    <row r="4923"/>
    <row r="4924"/>
    <row r="4925"/>
    <row r="4926"/>
    <row r="4927"/>
    <row r="4928"/>
    <row r="4929"/>
    <row r="4930"/>
    <row r="4931"/>
    <row r="4932"/>
    <row r="4933"/>
    <row r="4934"/>
    <row r="4935"/>
    <row r="4936"/>
    <row r="4937"/>
    <row r="4938"/>
    <row r="4939"/>
    <row r="4940"/>
    <row r="4941"/>
    <row r="4942"/>
    <row r="4943"/>
    <row r="4944"/>
    <row r="4945"/>
    <row r="4946"/>
    <row r="4947"/>
    <row r="4948"/>
    <row r="4949"/>
    <row r="4950"/>
    <row r="4951"/>
    <row r="4952"/>
    <row r="4953"/>
    <row r="4954"/>
    <row r="4955"/>
    <row r="4956"/>
    <row r="4957"/>
    <row r="4958"/>
    <row r="4959"/>
    <row r="4960"/>
    <row r="4961"/>
    <row r="4962"/>
    <row r="4963"/>
    <row r="4964"/>
    <row r="4965"/>
    <row r="4966"/>
    <row r="4967"/>
    <row r="4968"/>
    <row r="4969"/>
    <row r="4970"/>
    <row r="4971"/>
    <row r="4972"/>
    <row r="4973"/>
    <row r="4974"/>
    <row r="4975"/>
    <row r="4976"/>
    <row r="4977"/>
    <row r="4978"/>
    <row r="4979"/>
    <row r="4980"/>
    <row r="4981"/>
    <row r="4982"/>
    <row r="4983"/>
    <row r="4984"/>
    <row r="4985"/>
    <row r="4986"/>
    <row r="4987"/>
    <row r="4988"/>
    <row r="4989"/>
    <row r="4990"/>
    <row r="4991"/>
    <row r="4992"/>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39"/>
    <row r="1048540"/>
    <row r="1048541"/>
    <row r="1048542"/>
    <row r="1048543"/>
    <row r="1048544"/>
    <row r="1048545"/>
    <row r="1048546"/>
    <row r="1048547"/>
    <row r="1048548"/>
    <row r="1048549"/>
    <row r="1048550"/>
    <row r="1048551"/>
    <row r="1048552"/>
    <row r="1048553"/>
    <row r="1048554"/>
    <row r="1048555"/>
    <row r="1048556"/>
    <row r="1048557"/>
    <row r="1048558"/>
    <row r="1048559"/>
    <row r="1048560"/>
    <row r="1048561"/>
    <row r="1048562"/>
    <row r="1048563"/>
    <row r="1048564"/>
    <row r="1048565"/>
    <row r="1048566"/>
    <row r="1048567"/>
    <row r="1048568"/>
    <row r="1048569"/>
    <row r="1048570"/>
    <row r="1048571"/>
    <row r="1048572"/>
    <row r="1048573"/>
    <row r="1048574"/>
    <row r="1048575"/>
    <row r="1048576"/>
  </sheetData>
  <sheetProtection algorithmName="SHA-512" hashValue="cl8zRLS2wT5MglIeGUinYzg/B1RBjhyHZn8bkGotyEgCNn49hBLjtmziVchTiNcOLaXwvuPnB8mx9qA25UBG6A==" saltValue="FH+3TY9rMzsK4Y8URH4I9g==" spinCount="100000" sheet="1" objects="1" scenarios="1"/>
  <mergeCells count="19">
    <mergeCell ref="AB45:AC45"/>
    <mergeCell ref="AE45:AF45"/>
    <mergeCell ref="AH45:AI45"/>
    <mergeCell ref="AB62:AC62"/>
    <mergeCell ref="AE62:AF62"/>
    <mergeCell ref="AH62:AI62"/>
    <mergeCell ref="AG13:AI14"/>
    <mergeCell ref="AB15:AC15"/>
    <mergeCell ref="AE15:AF15"/>
    <mergeCell ref="AH15:AI15"/>
    <mergeCell ref="AB30:AC30"/>
    <mergeCell ref="AE30:AF30"/>
    <mergeCell ref="AH30:AI30"/>
    <mergeCell ref="AD13:AF14"/>
    <mergeCell ref="A3:G3"/>
    <mergeCell ref="A4:G4"/>
    <mergeCell ref="A5:G5"/>
    <mergeCell ref="J13:M13"/>
    <mergeCell ref="AA13:AC14"/>
  </mergeCells>
  <conditionalFormatting sqref="E13:F13 E15:F42">
    <cfRule type="expression" dxfId="3" priority="1">
      <formula>$B$10="I know my feed quality"</formula>
    </cfRule>
  </conditionalFormatting>
  <conditionalFormatting sqref="E43:F45">
    <cfRule type="cellIs" dxfId="2" priority="2" operator="lessThan">
      <formula>0.0001</formula>
    </cfRule>
    <cfRule type="cellIs" dxfId="1" priority="3" operator="equal">
      <formula>""""""</formula>
    </cfRule>
  </conditionalFormatting>
  <dataValidations count="10">
    <dataValidation type="list" allowBlank="1" showInputMessage="1" showErrorMessage="1" sqref="B15:B19" xr:uid="{75B2A219-213C-4669-BE53-688FCEE16176}">
      <formula1>GrainConc</formula1>
    </dataValidation>
    <dataValidation allowBlank="1" showInputMessage="1" showErrorMessage="1" errorTitle="Cell protected" error="This cell is reporting average feed values._x000a_If you know your feed analysis, select &quot;I know my feed quality&quot; above" sqref="E27:F27 E34:F34 E41:F42 E20:F20" xr:uid="{06BBA37D-71E5-4CFD-A0FE-AA94999931B2}"/>
    <dataValidation type="custom" allowBlank="1" showInputMessage="1" showErrorMessage="1" errorTitle="Cell Protected" error="This cell is reporting average feed values._x000a_If you know your feed analysis, select &quot;I know my feed quality&quot; above" sqref="E13:F13" xr:uid="{A5AC07EE-3BD1-4AEC-9ABE-582FCC300382}">
      <formula1>B10="I know my feed quality"</formula1>
    </dataValidation>
    <dataValidation type="custom" allowBlank="1" showInputMessage="1" showErrorMessage="1" errorTitle="Cell protected" error="This cell is reporting average feed values._x000a_If you know your feed analysis, select &quot;I know my feed quality&quot; above" sqref="E15:F19 E43:F45 E35:F40 E21:F26 E28:F33" xr:uid="{250F33DB-119D-46D2-87CD-1FBBC68ABFC6}">
      <formula1>B10="I know my feed quality"</formula1>
    </dataValidation>
    <dataValidation type="list" allowBlank="1" showInputMessage="1" showErrorMessage="1" sqref="B29:B33" xr:uid="{EE895B06-5E25-45E6-87D3-93B046AE9678}">
      <formula1>$Z$46:$Z$60</formula1>
    </dataValidation>
    <dataValidation type="list" allowBlank="1" showInputMessage="1" showErrorMessage="1" sqref="B22:B26" xr:uid="{82E5E992-03D7-44A5-8120-B0A6EF607B27}">
      <formula1>$Z$31:$Z$43</formula1>
    </dataValidation>
    <dataValidation type="list" allowBlank="1" showInputMessage="1" showErrorMessage="1" sqref="B10" xr:uid="{484DE084-ED90-4A91-8B0A-875FCA67FA3B}">
      <formula1>$U$11:$U$12</formula1>
    </dataValidation>
    <dataValidation type="list" allowBlank="1" showInputMessage="1" showErrorMessage="1" sqref="B9" xr:uid="{A9C09D41-9667-4086-A330-EACE2BFB862E}">
      <formula1>$U$9:$U$10</formula1>
    </dataValidation>
    <dataValidation type="list" allowBlank="1" showInputMessage="1" showErrorMessage="1" sqref="B8" xr:uid="{346FD99B-52AE-4515-884B-0F60538A6341}">
      <formula1>$U$6:$U$7</formula1>
    </dataValidation>
    <dataValidation type="list" allowBlank="1" showInputMessage="1" showErrorMessage="1" sqref="B36:B40" xr:uid="{CF566016-64E3-4B1E-B766-43C0A6CF4A16}">
      <formula1>$Z$63:$Z$73</formula1>
    </dataValidation>
  </dataValidations>
  <hyperlinks>
    <hyperlink ref="J26" location="Index!A1" display="Back to index" xr:uid="{23AD61B2-5FD4-418D-91E9-35860E1D4E1C}"/>
    <hyperlink ref="K26" location="'Fertilisers - total tonnes'!A1" display="Next sheet" xr:uid="{5D7B8C8F-B8E3-4210-9E15-C01635161819}"/>
    <hyperlink ref="K27" location="'Fertilisers - kg per ha'!A1" display="Next sheet - Fertilisers kg/ha" xr:uid="{D5986991-9B89-422C-91B9-5609A5FD821A}"/>
    <hyperlink ref="J27" location="'Milk production'!A1" display="Previous sheet" xr:uid="{517F6E43-C5ED-432A-B9D4-6A6E7A4FAA4D}"/>
  </hyperlinks>
  <pageMargins left="0.7" right="0.7" top="0.75" bottom="0.75" header="0.3" footer="0.3"/>
  <pageSetup paperSize="9" orientation="portrait" verticalDpi="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6E487-063E-4F7F-A297-6F9C93414E76}">
  <sheetPr codeName="Sheet7"/>
  <dimension ref="A1:AA71"/>
  <sheetViews>
    <sheetView zoomScaleNormal="100" workbookViewId="0"/>
  </sheetViews>
  <sheetFormatPr defaultColWidth="0" defaultRowHeight="15" zeroHeight="1"/>
  <cols>
    <col min="1" max="1" width="8.7109375" customWidth="1"/>
    <col min="2" max="2" width="23.5703125" bestFit="1" customWidth="1"/>
    <col min="3" max="3" width="14" bestFit="1" customWidth="1"/>
    <col min="4" max="7" width="8.7109375" customWidth="1"/>
    <col min="8" max="8" width="12.85546875" hidden="1" customWidth="1"/>
    <col min="9" max="11" width="8.7109375" customWidth="1"/>
    <col min="12" max="12" width="18.85546875" customWidth="1"/>
    <col min="13" max="13" width="15.42578125" customWidth="1"/>
    <col min="14" max="17" width="8.7109375" customWidth="1"/>
    <col min="18" max="18" width="13.140625" bestFit="1" customWidth="1"/>
    <col min="19" max="19" width="8.7109375" customWidth="1"/>
    <col min="20" max="22" width="8.7109375" hidden="1" customWidth="1"/>
    <col min="23" max="23" width="29.28515625" hidden="1" customWidth="1"/>
    <col min="24" max="16384" width="8.7109375" hidden="1"/>
  </cols>
  <sheetData>
    <row r="1" spans="2:27"/>
    <row r="2" spans="2:27" ht="18.75">
      <c r="B2" s="1" t="s">
        <v>263</v>
      </c>
      <c r="W2" s="130" t="s">
        <v>264</v>
      </c>
      <c r="X2" s="133" t="s">
        <v>265</v>
      </c>
      <c r="Y2" s="134"/>
      <c r="Z2" s="134"/>
      <c r="AA2" s="135"/>
    </row>
    <row r="3" spans="2:27" ht="30.95" customHeight="1">
      <c r="B3" s="114" t="s">
        <v>266</v>
      </c>
      <c r="C3" s="114"/>
      <c r="D3" s="114"/>
      <c r="E3" s="114"/>
      <c r="F3" s="114"/>
      <c r="W3" s="131"/>
      <c r="X3" s="84"/>
      <c r="Y3" s="104"/>
      <c r="Z3" s="104"/>
      <c r="AA3" s="85"/>
    </row>
    <row r="4" spans="2:27" ht="18.75">
      <c r="B4" s="137" t="s">
        <v>267</v>
      </c>
      <c r="C4" s="106"/>
      <c r="D4" s="136" t="s">
        <v>268</v>
      </c>
      <c r="E4" s="136"/>
      <c r="F4" s="136"/>
      <c r="G4" s="136"/>
      <c r="H4" s="38"/>
      <c r="W4" s="132"/>
      <c r="X4" s="42" t="s">
        <v>269</v>
      </c>
      <c r="Y4" s="43" t="s">
        <v>270</v>
      </c>
      <c r="Z4" s="43" t="s">
        <v>271</v>
      </c>
      <c r="AA4" s="44" t="s">
        <v>272</v>
      </c>
    </row>
    <row r="5" spans="2:27" ht="15.75">
      <c r="B5" s="137"/>
      <c r="C5" s="107" t="s">
        <v>273</v>
      </c>
      <c r="D5" s="61" t="s">
        <v>269</v>
      </c>
      <c r="E5" s="61" t="s">
        <v>270</v>
      </c>
      <c r="F5" s="61" t="s">
        <v>271</v>
      </c>
      <c r="G5" s="61" t="s">
        <v>272</v>
      </c>
      <c r="H5" s="61" t="s">
        <v>274</v>
      </c>
      <c r="L5" s="41" t="s">
        <v>275</v>
      </c>
      <c r="M5" s="38"/>
      <c r="N5" s="38"/>
      <c r="O5" s="38"/>
      <c r="P5" s="38"/>
      <c r="Q5" s="38"/>
      <c r="R5" s="38"/>
      <c r="W5" s="45" t="s">
        <v>276</v>
      </c>
      <c r="X5" s="46">
        <v>18</v>
      </c>
      <c r="Y5" s="47">
        <v>20</v>
      </c>
      <c r="Z5" s="47">
        <v>0</v>
      </c>
      <c r="AA5" s="48">
        <v>1.6</v>
      </c>
    </row>
    <row r="6" spans="2:27" ht="15.75">
      <c r="B6" s="71"/>
      <c r="C6" s="71"/>
      <c r="D6" s="5" t="str">
        <f t="shared" ref="D6:D53" si="0">IFERROR(IF($B6=$W$36,"Enter "&amp;D$5,VLOOKUP($B6,$W$5:$AA$35,2,FALSE)),"")</f>
        <v/>
      </c>
      <c r="E6" s="5" t="str">
        <f t="shared" ref="E6:E53" si="1">IFERROR(IF($B6=$W$36,"Enter "&amp;E$5,VLOOKUP($B6,$W$5:$AA$35,3,FALSE)),"")</f>
        <v/>
      </c>
      <c r="F6" s="5" t="str">
        <f t="shared" ref="F6:F53" si="2">IFERROR(IF($B6=$W$36,"Enter "&amp;F$5,VLOOKUP($B6,$W$5:$AA$35,4,FALSE)),"")</f>
        <v/>
      </c>
      <c r="G6" s="5" t="str">
        <f t="shared" ref="G6:G53" si="3">IFERROR(IF($B6=$W$36,"Enter "&amp;G$5,VLOOKUP($B6,$W$5:$AA$35,5,FALSE)),"")</f>
        <v/>
      </c>
      <c r="H6" s="5" t="str">
        <f>IF(D6="","",IF(B6=$C$63,$D$63,IF(B6=$C$64,$D$64,IF(B6=$C$65,$D$65,IF(B6=$C$66,$D$66,IF(D6&gt;0,0,""))))))</f>
        <v/>
      </c>
      <c r="L6" s="38"/>
      <c r="M6" s="38"/>
      <c r="N6" s="38"/>
      <c r="O6" s="38"/>
      <c r="P6" s="38"/>
      <c r="Q6" s="38"/>
      <c r="R6" s="38"/>
      <c r="W6" s="45" t="s">
        <v>277</v>
      </c>
      <c r="X6" s="66">
        <v>0</v>
      </c>
      <c r="Y6" s="67">
        <v>0</v>
      </c>
      <c r="Z6" s="67">
        <v>0</v>
      </c>
      <c r="AA6" s="68">
        <v>0</v>
      </c>
    </row>
    <row r="7" spans="2:27" ht="15.75">
      <c r="B7" s="71"/>
      <c r="C7" s="71"/>
      <c r="D7" s="5" t="str">
        <f t="shared" si="0"/>
        <v/>
      </c>
      <c r="E7" s="5" t="str">
        <f t="shared" si="1"/>
        <v/>
      </c>
      <c r="F7" s="5" t="str">
        <f t="shared" si="2"/>
        <v/>
      </c>
      <c r="G7" s="5" t="str">
        <f t="shared" si="3"/>
        <v/>
      </c>
      <c r="H7" s="5" t="str">
        <f t="shared" ref="H7:H54" si="4">IF(D7="","",IF(B7=$C$63,$D$63,IF(B7=$C$64,$D$64,IF(B7=$C$65,$D$65,IF(B7=$C$66,$D$66,IF(D7&gt;0,0,""))))))</f>
        <v/>
      </c>
      <c r="L7" s="38"/>
      <c r="M7" s="38"/>
      <c r="N7" s="61" t="s">
        <v>269</v>
      </c>
      <c r="O7" s="61" t="s">
        <v>270</v>
      </c>
      <c r="P7" s="61" t="s">
        <v>271</v>
      </c>
      <c r="Q7" s="61" t="s">
        <v>272</v>
      </c>
      <c r="R7" s="61" t="s">
        <v>278</v>
      </c>
      <c r="W7" s="49" t="s">
        <v>279</v>
      </c>
      <c r="X7" s="50">
        <v>0</v>
      </c>
      <c r="Y7" s="51">
        <v>16.2</v>
      </c>
      <c r="Z7" s="51">
        <v>0</v>
      </c>
      <c r="AA7" s="52">
        <v>4.0999999999999996</v>
      </c>
    </row>
    <row r="8" spans="2:27" ht="15.75">
      <c r="B8" s="71"/>
      <c r="C8" s="71"/>
      <c r="D8" s="5" t="str">
        <f t="shared" si="0"/>
        <v/>
      </c>
      <c r="E8" s="5" t="str">
        <f t="shared" si="1"/>
        <v/>
      </c>
      <c r="F8" s="5" t="str">
        <f t="shared" si="2"/>
        <v/>
      </c>
      <c r="G8" s="5" t="str">
        <f t="shared" si="3"/>
        <v/>
      </c>
      <c r="H8" s="5" t="str">
        <f t="shared" si="4"/>
        <v/>
      </c>
      <c r="L8" s="61" t="s">
        <v>280</v>
      </c>
      <c r="M8" s="38"/>
      <c r="N8" cm="1">
        <f t="array" ref="N8">((SUMPRODUCT($C$6:$C$54,D6:D54)-(SUMPRODUCT(IF($B$6:$B$54=C66,1,0),$C$6:$C$54,$D$6:$D$54)))/100)+((SUMPRODUCT(IF($B$6:$B$54=C66,1,0),$C$6:$C$54,$D$6:$D$54)/100)/1000)</f>
        <v>0</v>
      </c>
      <c r="O8">
        <f>IFERROR(SUMPRODUCT($C$6:$C$54,E6:E54)/100,0)</f>
        <v>0</v>
      </c>
      <c r="P8">
        <f>IFERROR(SUMPRODUCT($C$6:$C$54,F6:F54)/100,0)</f>
        <v>0</v>
      </c>
      <c r="Q8">
        <f>IFERROR(SUMPRODUCT($C$6:$C$54,G6:G54)/100,0)</f>
        <v>0</v>
      </c>
      <c r="R8">
        <f>F71</f>
        <v>0</v>
      </c>
      <c r="W8" s="45" t="s">
        <v>281</v>
      </c>
      <c r="X8" s="56">
        <v>3.5</v>
      </c>
      <c r="Y8" s="57">
        <v>2.4</v>
      </c>
      <c r="Z8" s="57">
        <v>1.6</v>
      </c>
      <c r="AA8" s="58">
        <v>1</v>
      </c>
    </row>
    <row r="9" spans="2:27" ht="15.75">
      <c r="B9" s="71"/>
      <c r="C9" s="71"/>
      <c r="D9" s="5" t="str">
        <f t="shared" si="0"/>
        <v/>
      </c>
      <c r="E9" s="5" t="str">
        <f t="shared" si="1"/>
        <v/>
      </c>
      <c r="F9" s="5" t="str">
        <f t="shared" si="2"/>
        <v/>
      </c>
      <c r="G9" s="5" t="str">
        <f t="shared" si="3"/>
        <v/>
      </c>
      <c r="H9" s="5" t="str">
        <f t="shared" si="4"/>
        <v/>
      </c>
      <c r="L9" s="38"/>
      <c r="M9" s="38"/>
      <c r="W9" s="45" t="s">
        <v>282</v>
      </c>
      <c r="X9" s="93">
        <v>42.5</v>
      </c>
      <c r="Y9" s="93">
        <v>0</v>
      </c>
      <c r="Z9" s="93">
        <v>0</v>
      </c>
      <c r="AA9" s="94">
        <v>0</v>
      </c>
    </row>
    <row r="10" spans="2:27" ht="15.75">
      <c r="B10" s="71"/>
      <c r="C10" s="71"/>
      <c r="D10" s="5" t="str">
        <f t="shared" si="0"/>
        <v/>
      </c>
      <c r="E10" s="5" t="str">
        <f t="shared" si="1"/>
        <v/>
      </c>
      <c r="F10" s="5" t="str">
        <f t="shared" si="2"/>
        <v/>
      </c>
      <c r="G10" s="5" t="str">
        <f t="shared" si="3"/>
        <v/>
      </c>
      <c r="H10" s="5" t="str">
        <f t="shared" si="4"/>
        <v/>
      </c>
      <c r="L10" s="138" t="s">
        <v>283</v>
      </c>
      <c r="M10" s="138"/>
      <c r="O10">
        <f>(SUMIF(B6:B54,W6,C6:C54)+SUMIF(B6:B54,W13,C6:C54))</f>
        <v>0</v>
      </c>
      <c r="W10" s="49" t="s">
        <v>284</v>
      </c>
      <c r="X10" s="50">
        <v>0</v>
      </c>
      <c r="Y10" s="51">
        <v>18</v>
      </c>
      <c r="Z10" s="51">
        <v>0</v>
      </c>
      <c r="AA10" s="53">
        <v>10</v>
      </c>
    </row>
    <row r="11" spans="2:27" ht="15.75">
      <c r="B11" s="71"/>
      <c r="C11" s="71"/>
      <c r="D11" s="5" t="str">
        <f t="shared" si="0"/>
        <v/>
      </c>
      <c r="E11" s="5" t="str">
        <f t="shared" si="1"/>
        <v/>
      </c>
      <c r="F11" s="5" t="str">
        <f t="shared" si="2"/>
        <v/>
      </c>
      <c r="G11" s="5" t="str">
        <f t="shared" si="3"/>
        <v/>
      </c>
      <c r="H11" s="5" t="str">
        <f t="shared" si="4"/>
        <v/>
      </c>
      <c r="W11" s="59" t="s">
        <v>285</v>
      </c>
      <c r="X11" s="50">
        <v>0</v>
      </c>
      <c r="Y11" s="51">
        <v>16</v>
      </c>
      <c r="Z11" s="51">
        <v>0</v>
      </c>
      <c r="AA11" s="53">
        <v>20</v>
      </c>
    </row>
    <row r="12" spans="2:27" ht="15.75">
      <c r="B12" s="71"/>
      <c r="C12" s="71"/>
      <c r="D12" s="5" t="str">
        <f t="shared" si="0"/>
        <v/>
      </c>
      <c r="E12" s="5" t="str">
        <f t="shared" si="1"/>
        <v/>
      </c>
      <c r="F12" s="5" t="str">
        <f t="shared" si="2"/>
        <v/>
      </c>
      <c r="G12" s="5" t="str">
        <f t="shared" si="3"/>
        <v/>
      </c>
      <c r="H12" s="5" t="str">
        <f t="shared" si="4"/>
        <v/>
      </c>
      <c r="W12" s="45" t="s">
        <v>286</v>
      </c>
      <c r="X12" s="50">
        <v>0</v>
      </c>
      <c r="Y12" s="51">
        <v>20</v>
      </c>
      <c r="Z12" s="51">
        <v>0</v>
      </c>
      <c r="AA12" s="52">
        <v>1.5</v>
      </c>
    </row>
    <row r="13" spans="2:27" ht="15.75">
      <c r="B13" s="71"/>
      <c r="C13" s="71"/>
      <c r="D13" s="5" t="str">
        <f t="shared" si="0"/>
        <v/>
      </c>
      <c r="E13" s="5" t="str">
        <f t="shared" si="1"/>
        <v/>
      </c>
      <c r="F13" s="5" t="str">
        <f t="shared" si="2"/>
        <v/>
      </c>
      <c r="G13" s="5" t="str">
        <f t="shared" si="3"/>
        <v/>
      </c>
      <c r="H13" s="5" t="str">
        <f t="shared" si="4"/>
        <v/>
      </c>
      <c r="W13" s="45" t="s">
        <v>287</v>
      </c>
      <c r="X13" s="50">
        <v>0</v>
      </c>
      <c r="Y13" s="51">
        <v>0</v>
      </c>
      <c r="Z13" s="51">
        <v>0</v>
      </c>
      <c r="AA13" s="52">
        <v>0</v>
      </c>
    </row>
    <row r="14" spans="2:27" ht="15.75">
      <c r="B14" s="71"/>
      <c r="C14" s="71"/>
      <c r="D14" s="5" t="str">
        <f t="shared" si="0"/>
        <v/>
      </c>
      <c r="E14" s="5" t="str">
        <f t="shared" si="1"/>
        <v/>
      </c>
      <c r="F14" s="5" t="str">
        <f t="shared" si="2"/>
        <v/>
      </c>
      <c r="G14" s="5" t="str">
        <f t="shared" si="3"/>
        <v/>
      </c>
      <c r="H14" s="5" t="str">
        <f t="shared" si="4"/>
        <v/>
      </c>
      <c r="W14" s="45" t="s">
        <v>288</v>
      </c>
      <c r="X14" s="50">
        <v>10</v>
      </c>
      <c r="Y14" s="51">
        <v>21.4</v>
      </c>
      <c r="Z14" s="51">
        <v>0</v>
      </c>
      <c r="AA14" s="52">
        <v>1.5</v>
      </c>
    </row>
    <row r="15" spans="2:27" ht="15.75">
      <c r="B15" s="71"/>
      <c r="C15" s="71"/>
      <c r="D15" s="5" t="str">
        <f t="shared" si="0"/>
        <v/>
      </c>
      <c r="E15" s="5" t="str">
        <f t="shared" si="1"/>
        <v/>
      </c>
      <c r="F15" s="5" t="str">
        <f t="shared" si="2"/>
        <v/>
      </c>
      <c r="G15" s="5" t="str">
        <f t="shared" si="3"/>
        <v/>
      </c>
      <c r="H15" s="5" t="str">
        <f t="shared" si="4"/>
        <v/>
      </c>
      <c r="L15" s="80" t="s">
        <v>52</v>
      </c>
      <c r="M15" s="80" t="s">
        <v>109</v>
      </c>
      <c r="N15" s="80" t="s">
        <v>53</v>
      </c>
      <c r="W15" s="45" t="s">
        <v>289</v>
      </c>
      <c r="X15" s="50">
        <v>24</v>
      </c>
      <c r="Y15" s="51">
        <v>4</v>
      </c>
      <c r="Z15" s="51">
        <v>13</v>
      </c>
      <c r="AA15" s="52">
        <v>5</v>
      </c>
    </row>
    <row r="16" spans="2:27" ht="15.75">
      <c r="B16" s="71"/>
      <c r="C16" s="71"/>
      <c r="D16" s="5" t="str">
        <f t="shared" si="0"/>
        <v/>
      </c>
      <c r="E16" s="5" t="str">
        <f t="shared" si="1"/>
        <v/>
      </c>
      <c r="F16" s="5" t="str">
        <f t="shared" si="2"/>
        <v/>
      </c>
      <c r="G16" s="5" t="str">
        <f t="shared" si="3"/>
        <v/>
      </c>
      <c r="H16" s="5" t="str">
        <f t="shared" si="4"/>
        <v/>
      </c>
      <c r="W16" s="45" t="s">
        <v>290</v>
      </c>
      <c r="X16" s="56">
        <v>0</v>
      </c>
      <c r="Y16" s="57">
        <v>14</v>
      </c>
      <c r="Z16" s="57">
        <v>0</v>
      </c>
      <c r="AA16" s="58">
        <v>0</v>
      </c>
    </row>
    <row r="17" spans="2:27" ht="15.75">
      <c r="B17" s="71"/>
      <c r="C17" s="71"/>
      <c r="D17" s="5" t="str">
        <f t="shared" si="0"/>
        <v/>
      </c>
      <c r="E17" s="5" t="str">
        <f t="shared" si="1"/>
        <v/>
      </c>
      <c r="F17" s="5" t="str">
        <f t="shared" si="2"/>
        <v/>
      </c>
      <c r="G17" s="5" t="str">
        <f t="shared" si="3"/>
        <v/>
      </c>
      <c r="H17" s="5" t="str">
        <f t="shared" si="4"/>
        <v/>
      </c>
      <c r="W17" s="45" t="s">
        <v>291</v>
      </c>
      <c r="X17" s="50">
        <v>0</v>
      </c>
      <c r="Y17" s="51">
        <v>14.3</v>
      </c>
      <c r="Z17" s="51">
        <v>0</v>
      </c>
      <c r="AA17" s="52">
        <v>17.100000000000001</v>
      </c>
    </row>
    <row r="18" spans="2:27" ht="15.75">
      <c r="B18" s="71"/>
      <c r="C18" s="71"/>
      <c r="D18" s="5" t="str">
        <f t="shared" si="0"/>
        <v/>
      </c>
      <c r="E18" s="5" t="str">
        <f t="shared" si="1"/>
        <v/>
      </c>
      <c r="F18" s="5" t="str">
        <f t="shared" si="2"/>
        <v/>
      </c>
      <c r="G18" s="5" t="str">
        <f t="shared" si="3"/>
        <v/>
      </c>
      <c r="H18" s="5" t="str">
        <f t="shared" si="4"/>
        <v/>
      </c>
      <c r="W18" s="45" t="s">
        <v>292</v>
      </c>
      <c r="X18" s="50">
        <v>0</v>
      </c>
      <c r="Y18" s="51">
        <v>8.9</v>
      </c>
      <c r="Z18" s="51">
        <v>17.5</v>
      </c>
      <c r="AA18" s="52">
        <v>11</v>
      </c>
    </row>
    <row r="19" spans="2:27" ht="15.75">
      <c r="B19" s="71"/>
      <c r="C19" s="71"/>
      <c r="D19" s="5" t="str">
        <f t="shared" si="0"/>
        <v/>
      </c>
      <c r="E19" s="5" t="str">
        <f t="shared" si="1"/>
        <v/>
      </c>
      <c r="F19" s="5" t="str">
        <f t="shared" si="2"/>
        <v/>
      </c>
      <c r="G19" s="5" t="str">
        <f t="shared" si="3"/>
        <v/>
      </c>
      <c r="H19" s="5" t="str">
        <f t="shared" si="4"/>
        <v/>
      </c>
      <c r="W19" s="49" t="s">
        <v>293</v>
      </c>
      <c r="X19" s="50">
        <v>0</v>
      </c>
      <c r="Y19" s="51">
        <v>9.8000000000000007</v>
      </c>
      <c r="Z19" s="51">
        <v>14.5</v>
      </c>
      <c r="AA19" s="52">
        <v>12.2</v>
      </c>
    </row>
    <row r="20" spans="2:27" ht="15.75">
      <c r="B20" s="71"/>
      <c r="C20" s="71"/>
      <c r="D20" s="5" t="str">
        <f t="shared" si="0"/>
        <v/>
      </c>
      <c r="E20" s="5" t="str">
        <f t="shared" si="1"/>
        <v/>
      </c>
      <c r="F20" s="5" t="str">
        <f t="shared" si="2"/>
        <v/>
      </c>
      <c r="G20" s="5" t="str">
        <f t="shared" si="3"/>
        <v/>
      </c>
      <c r="H20" s="5" t="str">
        <f t="shared" si="4"/>
        <v/>
      </c>
      <c r="W20" s="45" t="s">
        <v>294</v>
      </c>
      <c r="X20" s="50">
        <v>0</v>
      </c>
      <c r="Y20" s="51">
        <v>13</v>
      </c>
      <c r="Z20" s="51">
        <v>0</v>
      </c>
      <c r="AA20" s="52">
        <v>7</v>
      </c>
    </row>
    <row r="21" spans="2:27" ht="15.75">
      <c r="B21" s="71"/>
      <c r="C21" s="71"/>
      <c r="D21" s="5" t="str">
        <f t="shared" si="0"/>
        <v/>
      </c>
      <c r="E21" s="5" t="str">
        <f t="shared" si="1"/>
        <v/>
      </c>
      <c r="F21" s="5" t="str">
        <f t="shared" si="2"/>
        <v/>
      </c>
      <c r="G21" s="5" t="str">
        <f t="shared" si="3"/>
        <v/>
      </c>
      <c r="H21" s="5" t="str">
        <f t="shared" si="4"/>
        <v/>
      </c>
      <c r="W21" s="49" t="s">
        <v>295</v>
      </c>
      <c r="X21" s="50">
        <v>0</v>
      </c>
      <c r="Y21" s="51">
        <v>18</v>
      </c>
      <c r="Z21" s="51">
        <v>0</v>
      </c>
      <c r="AA21" s="52">
        <v>9.6999999999999993</v>
      </c>
    </row>
    <row r="22" spans="2:27" ht="15.75">
      <c r="B22" s="71"/>
      <c r="C22" s="71"/>
      <c r="D22" s="5" t="str">
        <f t="shared" si="0"/>
        <v/>
      </c>
      <c r="E22" s="5" t="str">
        <f t="shared" si="1"/>
        <v/>
      </c>
      <c r="F22" s="5" t="str">
        <f t="shared" si="2"/>
        <v/>
      </c>
      <c r="G22" s="5" t="str">
        <f t="shared" si="3"/>
        <v/>
      </c>
      <c r="H22" s="5" t="str">
        <f t="shared" si="4"/>
        <v/>
      </c>
      <c r="W22" s="45" t="s">
        <v>296</v>
      </c>
      <c r="X22" s="50">
        <v>0</v>
      </c>
      <c r="Y22" s="51">
        <v>0</v>
      </c>
      <c r="Z22" s="51">
        <v>50</v>
      </c>
      <c r="AA22" s="52">
        <v>0</v>
      </c>
    </row>
    <row r="23" spans="2:27" ht="15.75">
      <c r="B23" s="71"/>
      <c r="C23" s="71"/>
      <c r="D23" s="5" t="str">
        <f t="shared" si="0"/>
        <v/>
      </c>
      <c r="E23" s="5" t="str">
        <f t="shared" si="1"/>
        <v/>
      </c>
      <c r="F23" s="5" t="str">
        <f t="shared" si="2"/>
        <v/>
      </c>
      <c r="G23" s="5" t="str">
        <f t="shared" si="3"/>
        <v/>
      </c>
      <c r="H23" s="5" t="str">
        <f t="shared" si="4"/>
        <v/>
      </c>
      <c r="W23" s="49" t="s">
        <v>297</v>
      </c>
      <c r="X23" s="50">
        <v>2.6</v>
      </c>
      <c r="Y23" s="51">
        <v>1.8</v>
      </c>
      <c r="Z23" s="51">
        <v>1</v>
      </c>
      <c r="AA23" s="52">
        <v>0.6</v>
      </c>
    </row>
    <row r="24" spans="2:27" ht="15.75">
      <c r="B24" s="71"/>
      <c r="C24" s="71"/>
      <c r="D24" s="5" t="str">
        <f t="shared" si="0"/>
        <v/>
      </c>
      <c r="E24" s="5" t="str">
        <f t="shared" si="1"/>
        <v/>
      </c>
      <c r="F24" s="5" t="str">
        <f t="shared" si="2"/>
        <v/>
      </c>
      <c r="G24" s="5" t="str">
        <f t="shared" si="3"/>
        <v/>
      </c>
      <c r="H24" s="5" t="str">
        <f t="shared" si="4"/>
        <v/>
      </c>
      <c r="W24" s="45" t="s">
        <v>298</v>
      </c>
      <c r="X24" s="50">
        <v>0</v>
      </c>
      <c r="Y24" s="51">
        <v>9</v>
      </c>
      <c r="Z24" s="51">
        <v>0</v>
      </c>
      <c r="AA24" s="52">
        <v>11</v>
      </c>
    </row>
    <row r="25" spans="2:27" ht="15.75">
      <c r="B25" s="71"/>
      <c r="C25" s="71"/>
      <c r="D25" s="5" t="str">
        <f t="shared" si="0"/>
        <v/>
      </c>
      <c r="E25" s="5" t="str">
        <f t="shared" si="1"/>
        <v/>
      </c>
      <c r="F25" s="5" t="str">
        <f t="shared" si="2"/>
        <v/>
      </c>
      <c r="G25" s="5" t="str">
        <f t="shared" si="3"/>
        <v/>
      </c>
      <c r="H25" s="5" t="str">
        <f t="shared" si="4"/>
        <v/>
      </c>
      <c r="W25" s="64" t="s">
        <v>299</v>
      </c>
      <c r="X25" s="54">
        <v>20.399999999999999</v>
      </c>
      <c r="Y25" s="55">
        <v>0</v>
      </c>
      <c r="Z25" s="55">
        <v>0</v>
      </c>
      <c r="AA25" s="65">
        <v>24</v>
      </c>
    </row>
    <row r="26" spans="2:27" ht="15.75">
      <c r="B26" s="71"/>
      <c r="C26" s="71"/>
      <c r="D26" s="5" t="str">
        <f t="shared" si="0"/>
        <v/>
      </c>
      <c r="E26" s="5" t="str">
        <f t="shared" si="1"/>
        <v/>
      </c>
      <c r="F26" s="5" t="str">
        <f t="shared" si="2"/>
        <v/>
      </c>
      <c r="G26" s="5" t="str">
        <f t="shared" si="3"/>
        <v/>
      </c>
      <c r="H26" s="5" t="str">
        <f t="shared" si="4"/>
        <v/>
      </c>
      <c r="W26" s="45" t="s">
        <v>300</v>
      </c>
      <c r="X26" s="50">
        <v>0</v>
      </c>
      <c r="Y26" s="51">
        <v>0</v>
      </c>
      <c r="Z26" s="51">
        <v>41.5</v>
      </c>
      <c r="AA26" s="52">
        <v>17</v>
      </c>
    </row>
    <row r="27" spans="2:27" ht="15.75">
      <c r="B27" s="71"/>
      <c r="C27" s="71"/>
      <c r="D27" s="5" t="str">
        <f t="shared" si="0"/>
        <v/>
      </c>
      <c r="E27" s="5" t="str">
        <f t="shared" si="1"/>
        <v/>
      </c>
      <c r="F27" s="5" t="str">
        <f t="shared" si="2"/>
        <v/>
      </c>
      <c r="G27" s="5" t="str">
        <f t="shared" si="3"/>
        <v/>
      </c>
      <c r="H27" s="5" t="str">
        <f t="shared" si="4"/>
        <v/>
      </c>
      <c r="W27" s="45" t="s">
        <v>300</v>
      </c>
      <c r="X27" s="50">
        <v>0</v>
      </c>
      <c r="Y27" s="51">
        <v>41.5</v>
      </c>
      <c r="Z27" s="51">
        <v>0</v>
      </c>
      <c r="AA27" s="52">
        <v>17</v>
      </c>
    </row>
    <row r="28" spans="2:27" ht="15.75">
      <c r="B28" s="71"/>
      <c r="C28" s="71"/>
      <c r="D28" s="5" t="str">
        <f t="shared" si="0"/>
        <v/>
      </c>
      <c r="E28" s="5" t="str">
        <f t="shared" si="1"/>
        <v/>
      </c>
      <c r="F28" s="5" t="str">
        <f t="shared" si="2"/>
        <v/>
      </c>
      <c r="G28" s="5" t="str">
        <f t="shared" si="3"/>
        <v/>
      </c>
      <c r="H28" s="5" t="str">
        <f t="shared" si="4"/>
        <v/>
      </c>
      <c r="W28" s="49" t="s">
        <v>301</v>
      </c>
      <c r="X28" s="50">
        <v>0</v>
      </c>
      <c r="Y28" s="51">
        <v>4.4000000000000004</v>
      </c>
      <c r="Z28" s="51">
        <v>25</v>
      </c>
      <c r="AA28" s="52">
        <v>5.5</v>
      </c>
    </row>
    <row r="29" spans="2:27" ht="15.75">
      <c r="B29" s="71"/>
      <c r="C29" s="71"/>
      <c r="D29" s="5" t="str">
        <f t="shared" si="0"/>
        <v/>
      </c>
      <c r="E29" s="5" t="str">
        <f t="shared" si="1"/>
        <v/>
      </c>
      <c r="F29" s="5" t="str">
        <f t="shared" si="2"/>
        <v/>
      </c>
      <c r="G29" s="5" t="str">
        <f t="shared" si="3"/>
        <v/>
      </c>
      <c r="H29" s="5" t="str">
        <f t="shared" si="4"/>
        <v/>
      </c>
      <c r="W29" s="45" t="s">
        <v>302</v>
      </c>
      <c r="X29" s="50">
        <v>0</v>
      </c>
      <c r="Y29" s="51">
        <v>5.9</v>
      </c>
      <c r="Z29" s="51">
        <v>16.600000000000001</v>
      </c>
      <c r="AA29" s="52">
        <v>7.3</v>
      </c>
    </row>
    <row r="30" spans="2:27" ht="15.75">
      <c r="B30" s="71"/>
      <c r="C30" s="71"/>
      <c r="D30" s="5" t="str">
        <f t="shared" si="0"/>
        <v/>
      </c>
      <c r="E30" s="5" t="str">
        <f t="shared" si="1"/>
        <v/>
      </c>
      <c r="F30" s="5" t="str">
        <f t="shared" si="2"/>
        <v/>
      </c>
      <c r="G30" s="5" t="str">
        <f t="shared" si="3"/>
        <v/>
      </c>
      <c r="H30" s="5" t="str">
        <f t="shared" si="4"/>
        <v/>
      </c>
      <c r="W30" s="45" t="s">
        <v>303</v>
      </c>
      <c r="X30" s="50">
        <v>0</v>
      </c>
      <c r="Y30" s="51">
        <v>6.6</v>
      </c>
      <c r="Z30" s="51">
        <v>12.7</v>
      </c>
      <c r="AA30" s="52">
        <v>8.1999999999999993</v>
      </c>
    </row>
    <row r="31" spans="2:27" ht="15.75">
      <c r="B31" s="71"/>
      <c r="C31" s="71"/>
      <c r="D31" s="5" t="str">
        <f t="shared" si="0"/>
        <v/>
      </c>
      <c r="E31" s="5" t="str">
        <f t="shared" si="1"/>
        <v/>
      </c>
      <c r="F31" s="5" t="str">
        <f t="shared" si="2"/>
        <v/>
      </c>
      <c r="G31" s="5" t="str">
        <f t="shared" si="3"/>
        <v/>
      </c>
      <c r="H31" s="5" t="str">
        <f t="shared" si="4"/>
        <v/>
      </c>
      <c r="W31" s="45" t="s">
        <v>304</v>
      </c>
      <c r="X31" s="50">
        <v>0</v>
      </c>
      <c r="Y31" s="51">
        <v>7</v>
      </c>
      <c r="Z31" s="51">
        <v>10</v>
      </c>
      <c r="AA31" s="52">
        <v>8.8000000000000007</v>
      </c>
    </row>
    <row r="32" spans="2:27" ht="15.75">
      <c r="B32" s="71"/>
      <c r="C32" s="71"/>
      <c r="D32" s="5" t="str">
        <f t="shared" si="0"/>
        <v/>
      </c>
      <c r="E32" s="5" t="str">
        <f t="shared" si="1"/>
        <v/>
      </c>
      <c r="F32" s="5" t="str">
        <f t="shared" si="2"/>
        <v/>
      </c>
      <c r="G32" s="5" t="str">
        <f t="shared" si="3"/>
        <v/>
      </c>
      <c r="H32" s="5" t="str">
        <f t="shared" si="4"/>
        <v/>
      </c>
      <c r="W32" s="45" t="s">
        <v>305</v>
      </c>
      <c r="X32" s="50">
        <v>0</v>
      </c>
      <c r="Y32" s="51">
        <v>7.3</v>
      </c>
      <c r="Z32" s="51">
        <v>8.3000000000000007</v>
      </c>
      <c r="AA32" s="52">
        <v>9.1999999999999993</v>
      </c>
    </row>
    <row r="33" spans="2:27" ht="15.75">
      <c r="B33" s="71"/>
      <c r="C33" s="71"/>
      <c r="D33" s="5" t="str">
        <f t="shared" si="0"/>
        <v/>
      </c>
      <c r="E33" s="5" t="str">
        <f t="shared" si="1"/>
        <v/>
      </c>
      <c r="F33" s="5" t="str">
        <f t="shared" si="2"/>
        <v/>
      </c>
      <c r="G33" s="5" t="str">
        <f t="shared" si="3"/>
        <v/>
      </c>
      <c r="H33" s="5" t="str">
        <f t="shared" si="4"/>
        <v/>
      </c>
      <c r="W33" s="49" t="s">
        <v>306</v>
      </c>
      <c r="X33" s="50">
        <v>0</v>
      </c>
      <c r="Y33" s="51">
        <v>20</v>
      </c>
      <c r="Z33" s="51">
        <v>0</v>
      </c>
      <c r="AA33" s="52">
        <v>0.8</v>
      </c>
    </row>
    <row r="34" spans="2:27" ht="15.75">
      <c r="B34" s="71"/>
      <c r="C34" s="71"/>
      <c r="D34" s="5" t="str">
        <f t="shared" si="0"/>
        <v/>
      </c>
      <c r="E34" s="5" t="str">
        <f t="shared" si="1"/>
        <v/>
      </c>
      <c r="F34" s="5" t="str">
        <f t="shared" si="2"/>
        <v/>
      </c>
      <c r="G34" s="5" t="str">
        <f t="shared" si="3"/>
        <v/>
      </c>
      <c r="H34" s="5" t="str">
        <f t="shared" si="4"/>
        <v/>
      </c>
      <c r="W34" s="45" t="s">
        <v>307</v>
      </c>
      <c r="X34" s="50">
        <v>46</v>
      </c>
      <c r="Y34" s="51">
        <v>0</v>
      </c>
      <c r="Z34" s="51">
        <v>0</v>
      </c>
      <c r="AA34" s="52">
        <v>0</v>
      </c>
    </row>
    <row r="35" spans="2:27" ht="15.75">
      <c r="B35" s="71"/>
      <c r="C35" s="71"/>
      <c r="D35" s="5" t="str">
        <f t="shared" si="0"/>
        <v/>
      </c>
      <c r="E35" s="5" t="str">
        <f t="shared" si="1"/>
        <v/>
      </c>
      <c r="F35" s="5" t="str">
        <f t="shared" si="2"/>
        <v/>
      </c>
      <c r="G35" s="5" t="str">
        <f t="shared" si="3"/>
        <v/>
      </c>
      <c r="H35" s="5" t="str">
        <f t="shared" si="4"/>
        <v/>
      </c>
      <c r="W35" s="59" t="s">
        <v>308</v>
      </c>
      <c r="X35" s="60">
        <v>33.5</v>
      </c>
      <c r="Y35" s="51">
        <v>0</v>
      </c>
      <c r="Z35" s="51">
        <v>0</v>
      </c>
      <c r="AA35" s="52">
        <v>12</v>
      </c>
    </row>
    <row r="36" spans="2:27" ht="15.75">
      <c r="B36" s="71"/>
      <c r="C36" s="71"/>
      <c r="D36" s="5" t="str">
        <f t="shared" si="0"/>
        <v/>
      </c>
      <c r="E36" s="5" t="str">
        <f t="shared" si="1"/>
        <v/>
      </c>
      <c r="F36" s="5" t="str">
        <f t="shared" si="2"/>
        <v/>
      </c>
      <c r="G36" s="5" t="str">
        <f t="shared" si="3"/>
        <v/>
      </c>
      <c r="H36" s="5" t="str">
        <f t="shared" si="4"/>
        <v/>
      </c>
      <c r="W36" s="45" t="s">
        <v>309</v>
      </c>
    </row>
    <row r="37" spans="2:27">
      <c r="B37" s="71"/>
      <c r="C37" s="71"/>
      <c r="D37" s="5" t="str">
        <f t="shared" si="0"/>
        <v/>
      </c>
      <c r="E37" s="5" t="str">
        <f t="shared" si="1"/>
        <v/>
      </c>
      <c r="F37" s="5" t="str">
        <f t="shared" si="2"/>
        <v/>
      </c>
      <c r="G37" s="5" t="str">
        <f t="shared" si="3"/>
        <v/>
      </c>
      <c r="H37" s="5" t="str">
        <f t="shared" si="4"/>
        <v/>
      </c>
    </row>
    <row r="38" spans="2:27">
      <c r="B38" s="71"/>
      <c r="C38" s="71"/>
      <c r="D38" s="5" t="str">
        <f t="shared" si="0"/>
        <v/>
      </c>
      <c r="E38" s="5" t="str">
        <f t="shared" si="1"/>
        <v/>
      </c>
      <c r="F38" s="5" t="str">
        <f t="shared" si="2"/>
        <v/>
      </c>
      <c r="G38" s="5" t="str">
        <f t="shared" si="3"/>
        <v/>
      </c>
      <c r="H38" s="5" t="str">
        <f t="shared" si="4"/>
        <v/>
      </c>
    </row>
    <row r="39" spans="2:27">
      <c r="B39" s="71"/>
      <c r="C39" s="71"/>
      <c r="D39" s="5" t="str">
        <f t="shared" si="0"/>
        <v/>
      </c>
      <c r="E39" s="5" t="str">
        <f t="shared" si="1"/>
        <v/>
      </c>
      <c r="F39" s="5" t="str">
        <f t="shared" si="2"/>
        <v/>
      </c>
      <c r="G39" s="5" t="str">
        <f t="shared" si="3"/>
        <v/>
      </c>
      <c r="H39" s="5" t="str">
        <f t="shared" si="4"/>
        <v/>
      </c>
    </row>
    <row r="40" spans="2:27">
      <c r="B40" s="71"/>
      <c r="C40" s="71"/>
      <c r="D40" s="5" t="str">
        <f t="shared" si="0"/>
        <v/>
      </c>
      <c r="E40" s="5" t="str">
        <f t="shared" si="1"/>
        <v/>
      </c>
      <c r="F40" s="5" t="str">
        <f t="shared" si="2"/>
        <v/>
      </c>
      <c r="G40" s="5" t="str">
        <f t="shared" si="3"/>
        <v/>
      </c>
      <c r="H40" s="5" t="str">
        <f t="shared" si="4"/>
        <v/>
      </c>
    </row>
    <row r="41" spans="2:27">
      <c r="B41" s="71"/>
      <c r="C41" s="71"/>
      <c r="D41" s="5" t="str">
        <f t="shared" si="0"/>
        <v/>
      </c>
      <c r="E41" s="5" t="str">
        <f t="shared" si="1"/>
        <v/>
      </c>
      <c r="F41" s="5" t="str">
        <f t="shared" si="2"/>
        <v/>
      </c>
      <c r="G41" s="5" t="str">
        <f t="shared" si="3"/>
        <v/>
      </c>
      <c r="H41" s="5" t="str">
        <f t="shared" si="4"/>
        <v/>
      </c>
    </row>
    <row r="42" spans="2:27">
      <c r="B42" s="71"/>
      <c r="C42" s="71"/>
      <c r="D42" s="5" t="str">
        <f t="shared" si="0"/>
        <v/>
      </c>
      <c r="E42" s="5" t="str">
        <f t="shared" si="1"/>
        <v/>
      </c>
      <c r="F42" s="5" t="str">
        <f t="shared" si="2"/>
        <v/>
      </c>
      <c r="G42" s="5" t="str">
        <f t="shared" si="3"/>
        <v/>
      </c>
      <c r="H42" s="5" t="str">
        <f t="shared" si="4"/>
        <v/>
      </c>
    </row>
    <row r="43" spans="2:27">
      <c r="B43" s="71"/>
      <c r="C43" s="71"/>
      <c r="D43" s="5" t="str">
        <f t="shared" si="0"/>
        <v/>
      </c>
      <c r="E43" s="5" t="str">
        <f t="shared" si="1"/>
        <v/>
      </c>
      <c r="F43" s="5" t="str">
        <f t="shared" si="2"/>
        <v/>
      </c>
      <c r="G43" s="5" t="str">
        <f t="shared" si="3"/>
        <v/>
      </c>
      <c r="H43" s="5" t="str">
        <f t="shared" si="4"/>
        <v/>
      </c>
    </row>
    <row r="44" spans="2:27">
      <c r="B44" s="71"/>
      <c r="C44" s="71"/>
      <c r="D44" s="5" t="str">
        <f t="shared" si="0"/>
        <v/>
      </c>
      <c r="E44" s="5" t="str">
        <f t="shared" si="1"/>
        <v/>
      </c>
      <c r="F44" s="5" t="str">
        <f t="shared" si="2"/>
        <v/>
      </c>
      <c r="G44" s="5" t="str">
        <f t="shared" si="3"/>
        <v/>
      </c>
      <c r="H44" s="5" t="str">
        <f t="shared" si="4"/>
        <v/>
      </c>
    </row>
    <row r="45" spans="2:27">
      <c r="B45" s="71"/>
      <c r="C45" s="71"/>
      <c r="D45" s="5" t="str">
        <f t="shared" si="0"/>
        <v/>
      </c>
      <c r="E45" s="5" t="str">
        <f t="shared" si="1"/>
        <v/>
      </c>
      <c r="F45" s="5" t="str">
        <f t="shared" si="2"/>
        <v/>
      </c>
      <c r="G45" s="5" t="str">
        <f t="shared" si="3"/>
        <v/>
      </c>
      <c r="H45" s="5" t="str">
        <f t="shared" si="4"/>
        <v/>
      </c>
    </row>
    <row r="46" spans="2:27">
      <c r="B46" s="71"/>
      <c r="C46" s="71"/>
      <c r="D46" s="5" t="str">
        <f t="shared" si="0"/>
        <v/>
      </c>
      <c r="E46" s="5" t="str">
        <f t="shared" si="1"/>
        <v/>
      </c>
      <c r="F46" s="5" t="str">
        <f t="shared" si="2"/>
        <v/>
      </c>
      <c r="G46" s="5" t="str">
        <f t="shared" si="3"/>
        <v/>
      </c>
      <c r="H46" s="5" t="str">
        <f t="shared" si="4"/>
        <v/>
      </c>
    </row>
    <row r="47" spans="2:27">
      <c r="B47" s="71"/>
      <c r="C47" s="71"/>
      <c r="D47" s="5" t="str">
        <f t="shared" si="0"/>
        <v/>
      </c>
      <c r="E47" s="5" t="str">
        <f t="shared" si="1"/>
        <v/>
      </c>
      <c r="F47" s="5" t="str">
        <f t="shared" si="2"/>
        <v/>
      </c>
      <c r="G47" s="5" t="str">
        <f t="shared" si="3"/>
        <v/>
      </c>
      <c r="H47" s="5" t="str">
        <f>IF(D47="","",IF(B47=$C$63,$D$63,IF(B47=$C$64,$D$64,IF(B47=$C$65,$D$65,IF(B47=$C$66,$D$66,IF(D47&gt;0,0,""))))))</f>
        <v/>
      </c>
    </row>
    <row r="48" spans="2:27">
      <c r="B48" s="71"/>
      <c r="C48" s="71"/>
      <c r="D48" s="5" t="str">
        <f t="shared" si="0"/>
        <v/>
      </c>
      <c r="E48" s="5" t="str">
        <f t="shared" si="1"/>
        <v/>
      </c>
      <c r="F48" s="5" t="str">
        <f t="shared" si="2"/>
        <v/>
      </c>
      <c r="G48" s="5" t="str">
        <f t="shared" si="3"/>
        <v/>
      </c>
      <c r="H48" s="5" t="str">
        <f t="shared" si="4"/>
        <v/>
      </c>
    </row>
    <row r="49" spans="2:8">
      <c r="B49" s="71"/>
      <c r="C49" s="71"/>
      <c r="D49" s="5" t="str">
        <f t="shared" si="0"/>
        <v/>
      </c>
      <c r="E49" s="5" t="str">
        <f t="shared" si="1"/>
        <v/>
      </c>
      <c r="F49" s="5" t="str">
        <f t="shared" si="2"/>
        <v/>
      </c>
      <c r="G49" s="5" t="str">
        <f t="shared" si="3"/>
        <v/>
      </c>
      <c r="H49" s="5" t="str">
        <f t="shared" si="4"/>
        <v/>
      </c>
    </row>
    <row r="50" spans="2:8">
      <c r="B50" s="71"/>
      <c r="C50" s="71"/>
      <c r="D50" s="5" t="str">
        <f t="shared" si="0"/>
        <v/>
      </c>
      <c r="E50" s="5" t="str">
        <f t="shared" si="1"/>
        <v/>
      </c>
      <c r="F50" s="5" t="str">
        <f t="shared" si="2"/>
        <v/>
      </c>
      <c r="G50" s="5" t="str">
        <f t="shared" si="3"/>
        <v/>
      </c>
      <c r="H50" s="5" t="str">
        <f t="shared" si="4"/>
        <v/>
      </c>
    </row>
    <row r="51" spans="2:8">
      <c r="B51" s="71"/>
      <c r="C51" s="71"/>
      <c r="D51" s="5" t="str">
        <f t="shared" si="0"/>
        <v/>
      </c>
      <c r="E51" s="5" t="str">
        <f t="shared" si="1"/>
        <v/>
      </c>
      <c r="F51" s="5" t="str">
        <f t="shared" si="2"/>
        <v/>
      </c>
      <c r="G51" s="5" t="str">
        <f t="shared" si="3"/>
        <v/>
      </c>
      <c r="H51" s="5" t="str">
        <f t="shared" si="4"/>
        <v/>
      </c>
    </row>
    <row r="52" spans="2:8">
      <c r="B52" s="71"/>
      <c r="C52" s="71"/>
      <c r="D52" s="5" t="str">
        <f t="shared" si="0"/>
        <v/>
      </c>
      <c r="E52" s="5" t="str">
        <f t="shared" si="1"/>
        <v/>
      </c>
      <c r="F52" s="5" t="str">
        <f t="shared" si="2"/>
        <v/>
      </c>
      <c r="G52" s="5" t="str">
        <f t="shared" si="3"/>
        <v/>
      </c>
      <c r="H52" s="5" t="str">
        <f t="shared" si="4"/>
        <v/>
      </c>
    </row>
    <row r="53" spans="2:8">
      <c r="B53" s="71"/>
      <c r="C53" s="71"/>
      <c r="D53" s="5" t="str">
        <f t="shared" si="0"/>
        <v/>
      </c>
      <c r="E53" s="5" t="str">
        <f t="shared" si="1"/>
        <v/>
      </c>
      <c r="F53" s="5" t="str">
        <f t="shared" si="2"/>
        <v/>
      </c>
      <c r="G53" s="5" t="str">
        <f t="shared" si="3"/>
        <v/>
      </c>
      <c r="H53" s="5" t="str">
        <f t="shared" si="4"/>
        <v/>
      </c>
    </row>
    <row r="54" spans="2:8">
      <c r="B54" s="71"/>
      <c r="C54" s="71"/>
      <c r="D54" s="5" t="str">
        <f>IFERROR(IF($B54=$W$36,"Enter "&amp;D$5,VLOOKUP($B54,$W$5:$AA$35,2,FALSE)),"")</f>
        <v/>
      </c>
      <c r="E54" s="5" t="str">
        <f>IFERROR(IF($B54=$W$36,"Enter "&amp;E$5,VLOOKUP($B54,$W$5:$AA$35,3,FALSE)),"")</f>
        <v/>
      </c>
      <c r="F54" s="5" t="str">
        <f>IFERROR(IF($B54=$W$36,"Enter "&amp;F$5,VLOOKUP($B54,$W$5:$AA$35,4,FALSE)),"")</f>
        <v/>
      </c>
      <c r="G54" s="5" t="str">
        <f>IFERROR(IF($B54=$W$36,"Enter "&amp;G$5,VLOOKUP($B54,$W$5:$AA$35,5,FALSE)),"")</f>
        <v/>
      </c>
      <c r="H54" s="5" t="str">
        <f t="shared" si="4"/>
        <v/>
      </c>
    </row>
    <row r="55" spans="2:8"/>
    <row r="60" spans="2:8" hidden="1">
      <c r="B60" s="76"/>
      <c r="C60" s="4" t="s">
        <v>310</v>
      </c>
      <c r="D60" s="4"/>
      <c r="E60" s="4"/>
      <c r="F60" s="4"/>
      <c r="G60" s="4"/>
    </row>
    <row r="61" spans="2:8" ht="15.75" hidden="1">
      <c r="B61" s="76"/>
      <c r="C61" s="4"/>
      <c r="D61" s="128"/>
      <c r="E61" s="128"/>
      <c r="F61" s="128"/>
      <c r="G61" s="128"/>
    </row>
    <row r="62" spans="2:8" ht="45" hidden="1">
      <c r="B62" s="4"/>
      <c r="C62" s="4"/>
      <c r="D62" s="95" t="s">
        <v>311</v>
      </c>
      <c r="E62" s="95" t="s">
        <v>312</v>
      </c>
      <c r="F62" s="95" t="s">
        <v>313</v>
      </c>
      <c r="G62" s="96"/>
    </row>
    <row r="63" spans="2:8" hidden="1">
      <c r="B63" s="129" t="s">
        <v>314</v>
      </c>
      <c r="C63" s="4" t="s">
        <v>307</v>
      </c>
      <c r="D63" s="4">
        <v>100</v>
      </c>
      <c r="E63" s="4" cm="1">
        <f t="array" ref="E63">SUMPRODUCT(IF($B$6:$B$54=C63,1,0),$C$6:$C$54,$D$6:$D$54)/100</f>
        <v>0</v>
      </c>
      <c r="F63" s="97">
        <f>E63*D63/100</f>
        <v>0</v>
      </c>
      <c r="G63" s="4"/>
    </row>
    <row r="64" spans="2:8" hidden="1">
      <c r="B64" s="129"/>
      <c r="C64" s="4" t="s">
        <v>308</v>
      </c>
      <c r="D64" s="4">
        <v>69</v>
      </c>
      <c r="E64" s="4" cm="1">
        <f t="array" ref="E64">SUMPRODUCT(IF($B$6:$B$54=C64,1,0),$C$6:$C$54,$D$6:$D$54)/100</f>
        <v>0</v>
      </c>
      <c r="F64" s="97">
        <f>E64*D64/100</f>
        <v>0</v>
      </c>
      <c r="G64" s="4"/>
    </row>
    <row r="65" spans="2:7" hidden="1">
      <c r="B65" s="129"/>
      <c r="C65" s="4" t="s">
        <v>289</v>
      </c>
      <c r="D65" s="4">
        <v>72</v>
      </c>
      <c r="E65" s="4" cm="1">
        <f t="array" ref="E65">SUMPRODUCT(IF($B$6:$B$54=C65,1,0),$C$6:$C$54,$D$6:$D$54)/100</f>
        <v>0</v>
      </c>
      <c r="F65" s="97">
        <f>E65*D65/100</f>
        <v>0</v>
      </c>
      <c r="G65" s="4"/>
    </row>
    <row r="66" spans="2:7" hidden="1">
      <c r="B66" s="129"/>
      <c r="C66" s="4" t="s">
        <v>282</v>
      </c>
      <c r="D66" s="4">
        <v>50.5</v>
      </c>
      <c r="E66" s="4" cm="1">
        <f t="array" ref="E66">(SUMPRODUCT(IF($B$6:$B$54=C66,1,0),$C$6:$C$54,$D$6:$D$54)/100)/1000</f>
        <v>0</v>
      </c>
      <c r="F66" s="97">
        <f>E66*D66/100</f>
        <v>0</v>
      </c>
      <c r="G66" s="4"/>
    </row>
    <row r="67" spans="2:7" hidden="1">
      <c r="B67" s="105"/>
      <c r="C67" s="4" t="s">
        <v>315</v>
      </c>
      <c r="D67" s="4">
        <v>0</v>
      </c>
      <c r="E67" s="98" cm="1">
        <f t="array" ref="E67">(SUMPRODUCT(C6:C54,D6:D54)-(SUMPRODUCT(IF($B$6:$B$54=C63,1,0),$C$6:$C$54,$D$6:$D$54)+SUMPRODUCT(IF($B$6:$B$54=C64,1,0),$C$6:$C$54,$D$6:$D$54)+SUMPRODUCT(IF($B$6:$B$54=C65,1,0),$C$6:$C$54,$D$6:$D$54)+(SUMPRODUCT(IF($B$6:$B$54=C66,1,0),$C$6:$C$54,$D$6:$D$54))))/100</f>
        <v>0</v>
      </c>
      <c r="F67" s="97">
        <f>E67*D67/100</f>
        <v>0</v>
      </c>
      <c r="G67" s="4"/>
    </row>
    <row r="68" spans="2:7" ht="15.75" hidden="1">
      <c r="B68" s="99"/>
      <c r="C68" s="100" t="s">
        <v>316</v>
      </c>
      <c r="D68" s="4"/>
      <c r="E68" s="4">
        <f>SUM(E63:E67)</f>
        <v>0</v>
      </c>
      <c r="F68" s="97">
        <f>SUM(F63:F67)</f>
        <v>0</v>
      </c>
      <c r="G68" s="4"/>
    </row>
    <row r="69" spans="2:7" ht="15.75" hidden="1">
      <c r="B69" s="99"/>
      <c r="C69" s="100"/>
      <c r="D69" s="4"/>
      <c r="E69" s="4"/>
      <c r="F69" s="97"/>
      <c r="G69" s="4"/>
    </row>
    <row r="70" spans="2:7" hidden="1">
      <c r="B70" s="4"/>
      <c r="C70" s="4"/>
      <c r="D70" s="4"/>
      <c r="E70" s="4"/>
      <c r="F70" s="4"/>
      <c r="G70" s="4"/>
    </row>
    <row r="71" spans="2:7" hidden="1">
      <c r="B71" s="4" t="s">
        <v>317</v>
      </c>
      <c r="C71" s="4"/>
      <c r="D71" s="4"/>
      <c r="E71" s="4"/>
      <c r="F71" s="4">
        <f>IF(F68=0,0,F68/N8*100)</f>
        <v>0</v>
      </c>
      <c r="G71" s="4"/>
    </row>
  </sheetData>
  <sheetProtection algorithmName="SHA-512" hashValue="IRPD33luS+FHjbSOjS+z29kgwqeYNruYXD9WKzit/wz7zpKwL/dC++f+gWay91hUxy+6emQW0ANw8c50hNvxVQ==" saltValue="patf+9al8FVp2uwNwy2IvQ==" spinCount="100000" sheet="1" objects="1" scenarios="1"/>
  <sortState xmlns:xlrd2="http://schemas.microsoft.com/office/spreadsheetml/2017/richdata2" ref="W5:AA34">
    <sortCondition ref="W5:W34"/>
  </sortState>
  <mergeCells count="8">
    <mergeCell ref="D61:G61"/>
    <mergeCell ref="B63:B66"/>
    <mergeCell ref="W2:W4"/>
    <mergeCell ref="X2:AA2"/>
    <mergeCell ref="D4:G4"/>
    <mergeCell ref="B4:B5"/>
    <mergeCell ref="L10:M10"/>
    <mergeCell ref="B3:F3"/>
  </mergeCells>
  <conditionalFormatting sqref="D6:G54">
    <cfRule type="containsText" dxfId="0" priority="1" operator="containsText" text="Enter">
      <formula>NOT(ISERROR(SEARCH("Enter",D6)))</formula>
    </cfRule>
  </conditionalFormatting>
  <dataValidations count="1">
    <dataValidation type="list" allowBlank="1" showInputMessage="1" showErrorMessage="1" sqref="B6:B54" xr:uid="{2B1110A4-9E07-4ED1-9AC6-89A1ED5754A4}">
      <formula1>$W$5:$W$36</formula1>
    </dataValidation>
  </dataValidations>
  <hyperlinks>
    <hyperlink ref="L15" location="Index!A1" display="Back to index" xr:uid="{B5908BA6-5D09-45AF-AA73-FB69E67D384E}"/>
    <hyperlink ref="N15" location="'Energy consumption'!A1" display="Next sheet" xr:uid="{4404B2A3-005B-427A-AE98-A29E1A36A544}"/>
    <hyperlink ref="M15" location="Diet!A1" display="Previous sheet" xr:uid="{617ABB0F-D188-4CF5-BA51-0ED2C424656D}"/>
  </hyperlink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C11A2-8A48-4F28-AC4D-5B07DC384F3F}">
  <sheetPr codeName="Sheet8"/>
  <dimension ref="A1:AB71"/>
  <sheetViews>
    <sheetView workbookViewId="0"/>
  </sheetViews>
  <sheetFormatPr defaultColWidth="0" defaultRowHeight="15" zeroHeight="1"/>
  <cols>
    <col min="1" max="1" width="8.7109375" customWidth="1"/>
    <col min="2" max="2" width="23.5703125" bestFit="1" customWidth="1"/>
    <col min="3" max="3" width="14.85546875" customWidth="1"/>
    <col min="4" max="4" width="14" bestFit="1" customWidth="1"/>
    <col min="5" max="5" width="13.140625" bestFit="1" customWidth="1"/>
    <col min="6" max="8" width="8.7109375" customWidth="1"/>
    <col min="9" max="9" width="12.85546875" hidden="1" customWidth="1"/>
    <col min="10" max="12" width="8.7109375" customWidth="1"/>
    <col min="13" max="13" width="14.42578125" customWidth="1"/>
    <col min="14" max="14" width="13.85546875" customWidth="1"/>
    <col min="15" max="18" width="8.7109375" customWidth="1"/>
    <col min="19" max="19" width="13.140625" customWidth="1"/>
    <col min="20" max="20" width="8.7109375" customWidth="1"/>
    <col min="21" max="16384" width="8.7109375" hidden="1"/>
  </cols>
  <sheetData>
    <row r="1" spans="2:28"/>
    <row r="2" spans="2:28" ht="18.75">
      <c r="B2" s="1" t="s">
        <v>318</v>
      </c>
      <c r="X2" s="130" t="s">
        <v>264</v>
      </c>
      <c r="Y2" s="133" t="s">
        <v>265</v>
      </c>
      <c r="Z2" s="134"/>
      <c r="AA2" s="134"/>
      <c r="AB2" s="135"/>
    </row>
    <row r="3" spans="2:28" ht="41.1" customHeight="1">
      <c r="B3" s="114" t="s">
        <v>266</v>
      </c>
      <c r="C3" s="114"/>
      <c r="D3" s="114"/>
      <c r="E3" s="114"/>
      <c r="F3" s="114"/>
      <c r="X3" s="131"/>
      <c r="Y3" s="84"/>
      <c r="Z3" s="104"/>
      <c r="AA3" s="104"/>
      <c r="AB3" s="85"/>
    </row>
    <row r="4" spans="2:28" ht="31.5">
      <c r="B4" s="137" t="s">
        <v>267</v>
      </c>
      <c r="C4" s="106"/>
      <c r="D4" s="63" t="s">
        <v>319</v>
      </c>
      <c r="E4" s="139" t="s">
        <v>268</v>
      </c>
      <c r="F4" s="139"/>
      <c r="G4" s="139"/>
      <c r="H4" s="139"/>
      <c r="I4" s="38"/>
      <c r="X4" s="132"/>
      <c r="Y4" s="42" t="s">
        <v>269</v>
      </c>
      <c r="Z4" s="43" t="s">
        <v>270</v>
      </c>
      <c r="AA4" s="43" t="s">
        <v>271</v>
      </c>
      <c r="AB4" s="44" t="s">
        <v>272</v>
      </c>
    </row>
    <row r="5" spans="2:28" ht="15.75">
      <c r="B5" s="137"/>
      <c r="C5" s="62" t="s">
        <v>320</v>
      </c>
      <c r="D5" s="107" t="s">
        <v>321</v>
      </c>
      <c r="E5" s="61" t="s">
        <v>269</v>
      </c>
      <c r="F5" s="61" t="s">
        <v>270</v>
      </c>
      <c r="G5" s="61" t="s">
        <v>271</v>
      </c>
      <c r="H5" s="61" t="s">
        <v>272</v>
      </c>
      <c r="I5" s="61" t="s">
        <v>274</v>
      </c>
      <c r="M5" s="41" t="s">
        <v>275</v>
      </c>
      <c r="N5" s="38"/>
      <c r="O5" s="38"/>
      <c r="P5" s="38"/>
      <c r="Q5" s="38"/>
      <c r="R5" s="38"/>
      <c r="S5" s="38"/>
      <c r="X5" s="45" t="s">
        <v>276</v>
      </c>
      <c r="Y5" s="46">
        <v>18</v>
      </c>
      <c r="Z5" s="47">
        <v>20</v>
      </c>
      <c r="AA5" s="47">
        <v>0</v>
      </c>
      <c r="AB5" s="48">
        <v>1.6</v>
      </c>
    </row>
    <row r="6" spans="2:28" ht="15.75">
      <c r="B6" s="71"/>
      <c r="C6" s="71"/>
      <c r="D6" s="71"/>
      <c r="E6" s="5" t="str">
        <f t="shared" ref="E6:E54" si="0">IFERROR(IF($B6=$X$36,"Enter "&amp;E$5,VLOOKUP($B6,$X$5:$AB$35,2,FALSE)),"")</f>
        <v/>
      </c>
      <c r="F6" s="5" t="str">
        <f t="shared" ref="F6:F54" si="1">IFERROR(IF($B6=$X$36,"Enter "&amp;F$5,VLOOKUP($B6,$X$5:$AB$35,3,FALSE)),"")</f>
        <v/>
      </c>
      <c r="G6" s="5" t="str">
        <f t="shared" ref="G6:G54" si="2">IFERROR(IF($B6=$X$36,"Enter "&amp;G$5,VLOOKUP($B6,$X$5:$AB$35,4,FALSE)),"")</f>
        <v/>
      </c>
      <c r="H6" s="5" t="str">
        <f t="shared" ref="H6:H54" si="3">IFERROR(IF($B6=$X$36,"Enter "&amp;H$5,VLOOKUP($B6,$X$5:$AB$35,5,FALSE)),"")</f>
        <v/>
      </c>
      <c r="I6" s="5" t="str">
        <f>IF(D6="","",IF(B6=$C$63,$D$63,IF(B6=$C$64,$D$64,IF(B6=$C$65,$D$65,IF(B6=$C$66,$D$66,IF(D6&gt;0,0,""))))))</f>
        <v/>
      </c>
      <c r="M6" s="38"/>
      <c r="N6" s="38"/>
      <c r="O6" s="38"/>
      <c r="P6" s="38"/>
      <c r="Q6" s="38"/>
      <c r="R6" s="38"/>
      <c r="S6" s="38"/>
      <c r="X6" s="45" t="s">
        <v>277</v>
      </c>
      <c r="Y6" s="66">
        <v>0</v>
      </c>
      <c r="Z6" s="67">
        <v>0</v>
      </c>
      <c r="AA6" s="67">
        <v>0</v>
      </c>
      <c r="AB6" s="68">
        <v>0</v>
      </c>
    </row>
    <row r="7" spans="2:28" ht="15.75">
      <c r="B7" s="71"/>
      <c r="C7" s="71"/>
      <c r="D7" s="71"/>
      <c r="E7" s="5" t="str">
        <f t="shared" si="0"/>
        <v/>
      </c>
      <c r="F7" s="5" t="str">
        <f t="shared" si="1"/>
        <v/>
      </c>
      <c r="G7" s="5" t="str">
        <f t="shared" si="2"/>
        <v/>
      </c>
      <c r="H7" s="5" t="str">
        <f t="shared" si="3"/>
        <v/>
      </c>
      <c r="I7" s="5" t="str">
        <f t="shared" ref="I7:I54" si="4">IF(D7="","",IF(B7=$C$63,$D$63,IF(B7=$C$64,$D$64,IF(B7=$C$65,$D$65,IF(B7=$C$66,$D$66,IF(D7&gt;0,0,""))))))</f>
        <v/>
      </c>
      <c r="M7" s="38"/>
      <c r="N7" s="38"/>
      <c r="O7" s="61" t="s">
        <v>269</v>
      </c>
      <c r="P7" s="61" t="s">
        <v>270</v>
      </c>
      <c r="Q7" s="61" t="s">
        <v>271</v>
      </c>
      <c r="R7" s="61" t="s">
        <v>272</v>
      </c>
      <c r="S7" s="61" t="s">
        <v>278</v>
      </c>
      <c r="X7" s="49" t="s">
        <v>279</v>
      </c>
      <c r="Y7" s="50">
        <v>0</v>
      </c>
      <c r="Z7" s="51">
        <v>16.2</v>
      </c>
      <c r="AA7" s="51">
        <v>0</v>
      </c>
      <c r="AB7" s="52">
        <v>4.0999999999999996</v>
      </c>
    </row>
    <row r="8" spans="2:28" ht="15.75">
      <c r="B8" s="71"/>
      <c r="C8" s="71"/>
      <c r="D8" s="71"/>
      <c r="E8" s="5" t="str">
        <f t="shared" si="0"/>
        <v/>
      </c>
      <c r="F8" s="5" t="str">
        <f t="shared" si="1"/>
        <v/>
      </c>
      <c r="G8" s="5" t="str">
        <f t="shared" si="2"/>
        <v/>
      </c>
      <c r="H8" s="5" t="str">
        <f t="shared" si="3"/>
        <v/>
      </c>
      <c r="I8" s="5" t="str">
        <f t="shared" si="4"/>
        <v/>
      </c>
      <c r="M8" s="61" t="s">
        <v>280</v>
      </c>
      <c r="N8" s="38"/>
      <c r="O8" cm="1">
        <f t="array" ref="O8">IFERROR(SUMPRODUCT($C$6:$C$54,$D$6:$D$54/1000,E6:E54)/100,0)</f>
        <v>0</v>
      </c>
      <c r="P8" cm="1">
        <f t="array" ref="P8">IFERROR(SUMPRODUCT($C$6:$C$54,$D$6:$D$54/1000,F6:F54)/100,0)</f>
        <v>0</v>
      </c>
      <c r="Q8" cm="1">
        <f t="array" ref="Q8">IFERROR(SUMPRODUCT($C$6:$C$54,$D$6:$D$54/1000,G6:G54)/100,0)</f>
        <v>0</v>
      </c>
      <c r="R8" cm="1">
        <f t="array" ref="R8">IFERROR(SUMPRODUCT($C$6:$C$54,$D$6:$D$54/1000,H6:H54)/100,0)</f>
        <v>0</v>
      </c>
      <c r="S8">
        <f>F71</f>
        <v>0</v>
      </c>
      <c r="X8" s="45" t="s">
        <v>281</v>
      </c>
      <c r="Y8" s="56">
        <v>3.5</v>
      </c>
      <c r="Z8" s="57">
        <v>2.4</v>
      </c>
      <c r="AA8" s="57">
        <v>1.6</v>
      </c>
      <c r="AB8" s="58">
        <v>1</v>
      </c>
    </row>
    <row r="9" spans="2:28" ht="15.75">
      <c r="B9" s="71"/>
      <c r="C9" s="71"/>
      <c r="D9" s="71"/>
      <c r="E9" s="5" t="str">
        <f t="shared" si="0"/>
        <v/>
      </c>
      <c r="F9" s="5" t="str">
        <f t="shared" si="1"/>
        <v/>
      </c>
      <c r="G9" s="5" t="str">
        <f t="shared" si="2"/>
        <v/>
      </c>
      <c r="H9" s="5" t="str">
        <f t="shared" si="3"/>
        <v/>
      </c>
      <c r="I9" s="5" t="str">
        <f t="shared" si="4"/>
        <v/>
      </c>
      <c r="M9" s="38"/>
      <c r="N9" s="38"/>
      <c r="O9" s="38"/>
      <c r="P9" s="38"/>
      <c r="Q9" s="38"/>
      <c r="R9" s="38"/>
      <c r="S9" s="38"/>
      <c r="X9" s="4" t="s">
        <v>282</v>
      </c>
      <c r="Y9" s="56">
        <v>42.5</v>
      </c>
      <c r="Z9" s="57">
        <v>0</v>
      </c>
      <c r="AA9" s="57">
        <v>0</v>
      </c>
      <c r="AB9" s="101">
        <v>0</v>
      </c>
    </row>
    <row r="10" spans="2:28" ht="15.75">
      <c r="B10" s="71"/>
      <c r="C10" s="71"/>
      <c r="D10" s="71"/>
      <c r="E10" s="5" t="str">
        <f t="shared" si="0"/>
        <v/>
      </c>
      <c r="F10" s="5" t="str">
        <f t="shared" si="1"/>
        <v/>
      </c>
      <c r="G10" s="5" t="str">
        <f t="shared" si="2"/>
        <v/>
      </c>
      <c r="H10" s="5" t="str">
        <f t="shared" si="3"/>
        <v/>
      </c>
      <c r="I10" s="5" t="str">
        <f t="shared" si="4"/>
        <v/>
      </c>
      <c r="M10" s="138" t="s">
        <v>283</v>
      </c>
      <c r="N10" s="138"/>
      <c r="P10">
        <f>(SUMIF(B6:B54,X6,C6:C54)/1000*SUMIF(B6:B54,X6,D6:D54)+SUMIF(B6:B54,X13,C6:C54)/1000*SUMIF(B6:B54,X13,D6:D54))</f>
        <v>0</v>
      </c>
      <c r="X10" s="49" t="s">
        <v>284</v>
      </c>
      <c r="Y10" s="50">
        <v>0</v>
      </c>
      <c r="Z10" s="51">
        <v>18</v>
      </c>
      <c r="AA10" s="51">
        <v>0</v>
      </c>
      <c r="AB10" s="53">
        <v>10</v>
      </c>
    </row>
    <row r="11" spans="2:28" ht="15.75">
      <c r="B11" s="71"/>
      <c r="C11" s="71"/>
      <c r="D11" s="71"/>
      <c r="E11" s="5" t="str">
        <f t="shared" si="0"/>
        <v/>
      </c>
      <c r="F11" s="5" t="str">
        <f t="shared" si="1"/>
        <v/>
      </c>
      <c r="G11" s="5" t="str">
        <f t="shared" si="2"/>
        <v/>
      </c>
      <c r="H11" s="5" t="str">
        <f t="shared" si="3"/>
        <v/>
      </c>
      <c r="I11" s="5" t="str">
        <f t="shared" si="4"/>
        <v/>
      </c>
      <c r="X11" s="59" t="s">
        <v>285</v>
      </c>
      <c r="Y11" s="50">
        <v>0</v>
      </c>
      <c r="Z11" s="51">
        <v>16</v>
      </c>
      <c r="AA11" s="51">
        <v>0</v>
      </c>
      <c r="AB11" s="53">
        <v>20</v>
      </c>
    </row>
    <row r="12" spans="2:28" ht="15.75">
      <c r="B12" s="71"/>
      <c r="C12" s="71"/>
      <c r="D12" s="71"/>
      <c r="E12" s="5" t="str">
        <f t="shared" si="0"/>
        <v/>
      </c>
      <c r="F12" s="5" t="str">
        <f t="shared" si="1"/>
        <v/>
      </c>
      <c r="G12" s="5" t="str">
        <f t="shared" si="2"/>
        <v/>
      </c>
      <c r="H12" s="5" t="str">
        <f t="shared" si="3"/>
        <v/>
      </c>
      <c r="I12" s="5" t="str">
        <f t="shared" si="4"/>
        <v/>
      </c>
      <c r="X12" s="45" t="s">
        <v>286</v>
      </c>
      <c r="Y12" s="50">
        <v>0</v>
      </c>
      <c r="Z12" s="51">
        <v>20</v>
      </c>
      <c r="AA12" s="51">
        <v>0</v>
      </c>
      <c r="AB12" s="52">
        <v>1.5</v>
      </c>
    </row>
    <row r="13" spans="2:28" ht="15.75">
      <c r="B13" s="71"/>
      <c r="C13" s="71"/>
      <c r="D13" s="71"/>
      <c r="E13" s="5" t="str">
        <f t="shared" si="0"/>
        <v/>
      </c>
      <c r="F13" s="5" t="str">
        <f t="shared" si="1"/>
        <v/>
      </c>
      <c r="G13" s="5" t="str">
        <f t="shared" si="2"/>
        <v/>
      </c>
      <c r="H13" s="5" t="str">
        <f t="shared" si="3"/>
        <v/>
      </c>
      <c r="I13" s="5" t="str">
        <f t="shared" si="4"/>
        <v/>
      </c>
      <c r="M13" s="80" t="s">
        <v>52</v>
      </c>
      <c r="N13" s="80" t="s">
        <v>109</v>
      </c>
      <c r="O13" s="80" t="s">
        <v>53</v>
      </c>
      <c r="X13" s="45" t="s">
        <v>287</v>
      </c>
      <c r="Y13" s="50">
        <v>0</v>
      </c>
      <c r="Z13" s="51">
        <v>0</v>
      </c>
      <c r="AA13" s="51">
        <v>0</v>
      </c>
      <c r="AB13" s="52">
        <v>0</v>
      </c>
    </row>
    <row r="14" spans="2:28" ht="15.75">
      <c r="B14" s="71"/>
      <c r="C14" s="71"/>
      <c r="D14" s="71"/>
      <c r="E14" s="5" t="str">
        <f t="shared" si="0"/>
        <v/>
      </c>
      <c r="F14" s="5" t="str">
        <f t="shared" si="1"/>
        <v/>
      </c>
      <c r="G14" s="5" t="str">
        <f t="shared" si="2"/>
        <v/>
      </c>
      <c r="H14" s="5" t="str">
        <f t="shared" si="3"/>
        <v/>
      </c>
      <c r="I14" s="5" t="str">
        <f t="shared" si="4"/>
        <v/>
      </c>
      <c r="X14" s="45" t="s">
        <v>288</v>
      </c>
      <c r="Y14" s="50">
        <v>10</v>
      </c>
      <c r="Z14" s="51">
        <v>21.4</v>
      </c>
      <c r="AA14" s="51">
        <v>0</v>
      </c>
      <c r="AB14" s="52">
        <v>1.5</v>
      </c>
    </row>
    <row r="15" spans="2:28" ht="15.75">
      <c r="B15" s="71"/>
      <c r="C15" s="71"/>
      <c r="D15" s="71"/>
      <c r="E15" s="5" t="str">
        <f t="shared" si="0"/>
        <v/>
      </c>
      <c r="F15" s="5" t="str">
        <f t="shared" si="1"/>
        <v/>
      </c>
      <c r="G15" s="5" t="str">
        <f t="shared" si="2"/>
        <v/>
      </c>
      <c r="H15" s="5" t="str">
        <f t="shared" si="3"/>
        <v/>
      </c>
      <c r="I15" s="5" t="str">
        <f t="shared" si="4"/>
        <v/>
      </c>
      <c r="X15" s="45" t="s">
        <v>289</v>
      </c>
      <c r="Y15" s="50">
        <v>24</v>
      </c>
      <c r="Z15" s="51">
        <v>4</v>
      </c>
      <c r="AA15" s="51">
        <v>13</v>
      </c>
      <c r="AB15" s="52">
        <v>5</v>
      </c>
    </row>
    <row r="16" spans="2:28" ht="15.75">
      <c r="B16" s="71"/>
      <c r="C16" s="71"/>
      <c r="D16" s="71"/>
      <c r="E16" s="5" t="str">
        <f t="shared" si="0"/>
        <v/>
      </c>
      <c r="F16" s="5" t="str">
        <f t="shared" si="1"/>
        <v/>
      </c>
      <c r="G16" s="5" t="str">
        <f t="shared" si="2"/>
        <v/>
      </c>
      <c r="H16" s="5" t="str">
        <f t="shared" si="3"/>
        <v/>
      </c>
      <c r="I16" s="5" t="str">
        <f t="shared" si="4"/>
        <v/>
      </c>
      <c r="X16" s="45" t="s">
        <v>290</v>
      </c>
      <c r="Y16" s="56">
        <v>0</v>
      </c>
      <c r="Z16" s="57">
        <v>14</v>
      </c>
      <c r="AA16" s="57">
        <v>0</v>
      </c>
      <c r="AB16" s="58">
        <v>0</v>
      </c>
    </row>
    <row r="17" spans="2:28" ht="15.75">
      <c r="B17" s="71"/>
      <c r="C17" s="71"/>
      <c r="D17" s="71"/>
      <c r="E17" s="5" t="str">
        <f t="shared" si="0"/>
        <v/>
      </c>
      <c r="F17" s="5" t="str">
        <f t="shared" si="1"/>
        <v/>
      </c>
      <c r="G17" s="5" t="str">
        <f t="shared" si="2"/>
        <v/>
      </c>
      <c r="H17" s="5" t="str">
        <f t="shared" si="3"/>
        <v/>
      </c>
      <c r="I17" s="5" t="str">
        <f t="shared" si="4"/>
        <v/>
      </c>
      <c r="X17" s="45" t="s">
        <v>291</v>
      </c>
      <c r="Y17" s="50">
        <v>0</v>
      </c>
      <c r="Z17" s="51">
        <v>14.3</v>
      </c>
      <c r="AA17" s="51">
        <v>0</v>
      </c>
      <c r="AB17" s="52">
        <v>17.100000000000001</v>
      </c>
    </row>
    <row r="18" spans="2:28" ht="15.75">
      <c r="B18" s="71"/>
      <c r="C18" s="71"/>
      <c r="D18" s="71"/>
      <c r="E18" s="5" t="str">
        <f t="shared" si="0"/>
        <v/>
      </c>
      <c r="F18" s="5" t="str">
        <f t="shared" si="1"/>
        <v/>
      </c>
      <c r="G18" s="5" t="str">
        <f t="shared" si="2"/>
        <v/>
      </c>
      <c r="H18" s="5" t="str">
        <f t="shared" si="3"/>
        <v/>
      </c>
      <c r="I18" s="5" t="str">
        <f t="shared" si="4"/>
        <v/>
      </c>
      <c r="X18" s="45" t="s">
        <v>292</v>
      </c>
      <c r="Y18" s="50">
        <v>0</v>
      </c>
      <c r="Z18" s="51">
        <v>8.9</v>
      </c>
      <c r="AA18" s="51">
        <v>17.5</v>
      </c>
      <c r="AB18" s="52">
        <v>11</v>
      </c>
    </row>
    <row r="19" spans="2:28" ht="15.75">
      <c r="B19" s="71"/>
      <c r="C19" s="71"/>
      <c r="D19" s="71"/>
      <c r="E19" s="5" t="str">
        <f t="shared" si="0"/>
        <v/>
      </c>
      <c r="F19" s="5" t="str">
        <f t="shared" si="1"/>
        <v/>
      </c>
      <c r="G19" s="5" t="str">
        <f t="shared" si="2"/>
        <v/>
      </c>
      <c r="H19" s="5" t="str">
        <f t="shared" si="3"/>
        <v/>
      </c>
      <c r="I19" s="5" t="str">
        <f t="shared" si="4"/>
        <v/>
      </c>
      <c r="X19" s="49" t="s">
        <v>293</v>
      </c>
      <c r="Y19" s="50">
        <v>0</v>
      </c>
      <c r="Z19" s="51">
        <v>9.8000000000000007</v>
      </c>
      <c r="AA19" s="51">
        <v>14.5</v>
      </c>
      <c r="AB19" s="52">
        <v>12.2</v>
      </c>
    </row>
    <row r="20" spans="2:28" ht="15.75">
      <c r="B20" s="71"/>
      <c r="C20" s="71"/>
      <c r="D20" s="71"/>
      <c r="E20" s="5" t="str">
        <f t="shared" si="0"/>
        <v/>
      </c>
      <c r="F20" s="5" t="str">
        <f t="shared" si="1"/>
        <v/>
      </c>
      <c r="G20" s="5" t="str">
        <f t="shared" si="2"/>
        <v/>
      </c>
      <c r="H20" s="5" t="str">
        <f t="shared" si="3"/>
        <v/>
      </c>
      <c r="I20" s="5" t="str">
        <f t="shared" si="4"/>
        <v/>
      </c>
      <c r="X20" s="45" t="s">
        <v>294</v>
      </c>
      <c r="Y20" s="50">
        <v>0</v>
      </c>
      <c r="Z20" s="51">
        <v>13</v>
      </c>
      <c r="AA20" s="51">
        <v>0</v>
      </c>
      <c r="AB20" s="52">
        <v>7</v>
      </c>
    </row>
    <row r="21" spans="2:28" ht="15.75">
      <c r="B21" s="71"/>
      <c r="C21" s="71"/>
      <c r="D21" s="71"/>
      <c r="E21" s="5" t="str">
        <f t="shared" si="0"/>
        <v/>
      </c>
      <c r="F21" s="5" t="str">
        <f t="shared" si="1"/>
        <v/>
      </c>
      <c r="G21" s="5" t="str">
        <f t="shared" si="2"/>
        <v/>
      </c>
      <c r="H21" s="5" t="str">
        <f t="shared" si="3"/>
        <v/>
      </c>
      <c r="I21" s="5" t="str">
        <f t="shared" si="4"/>
        <v/>
      </c>
      <c r="X21" s="49" t="s">
        <v>295</v>
      </c>
      <c r="Y21" s="50">
        <v>0</v>
      </c>
      <c r="Z21" s="51">
        <v>18</v>
      </c>
      <c r="AA21" s="51">
        <v>0</v>
      </c>
      <c r="AB21" s="52">
        <v>9.6999999999999993</v>
      </c>
    </row>
    <row r="22" spans="2:28" ht="15.75">
      <c r="B22" s="71"/>
      <c r="C22" s="71"/>
      <c r="D22" s="71"/>
      <c r="E22" s="5" t="str">
        <f t="shared" si="0"/>
        <v/>
      </c>
      <c r="F22" s="5" t="str">
        <f t="shared" si="1"/>
        <v/>
      </c>
      <c r="G22" s="5" t="str">
        <f t="shared" si="2"/>
        <v/>
      </c>
      <c r="H22" s="5" t="str">
        <f t="shared" si="3"/>
        <v/>
      </c>
      <c r="I22" s="5" t="str">
        <f t="shared" si="4"/>
        <v/>
      </c>
      <c r="X22" s="45" t="s">
        <v>296</v>
      </c>
      <c r="Y22" s="50">
        <v>0</v>
      </c>
      <c r="Z22" s="51">
        <v>0</v>
      </c>
      <c r="AA22" s="51">
        <v>50</v>
      </c>
      <c r="AB22" s="52">
        <v>0</v>
      </c>
    </row>
    <row r="23" spans="2:28" ht="15.75">
      <c r="B23" s="71"/>
      <c r="C23" s="71"/>
      <c r="D23" s="71"/>
      <c r="E23" s="5" t="str">
        <f t="shared" si="0"/>
        <v/>
      </c>
      <c r="F23" s="5" t="str">
        <f t="shared" si="1"/>
        <v/>
      </c>
      <c r="G23" s="5" t="str">
        <f t="shared" si="2"/>
        <v/>
      </c>
      <c r="H23" s="5" t="str">
        <f t="shared" si="3"/>
        <v/>
      </c>
      <c r="I23" s="5" t="str">
        <f t="shared" si="4"/>
        <v/>
      </c>
      <c r="X23" s="49" t="s">
        <v>297</v>
      </c>
      <c r="Y23" s="50">
        <v>2.6</v>
      </c>
      <c r="Z23" s="51">
        <v>1.8</v>
      </c>
      <c r="AA23" s="51">
        <v>1</v>
      </c>
      <c r="AB23" s="52">
        <v>0.6</v>
      </c>
    </row>
    <row r="24" spans="2:28" ht="15.75">
      <c r="B24" s="71"/>
      <c r="C24" s="71"/>
      <c r="D24" s="71"/>
      <c r="E24" s="5" t="str">
        <f t="shared" si="0"/>
        <v/>
      </c>
      <c r="F24" s="5" t="str">
        <f t="shared" si="1"/>
        <v/>
      </c>
      <c r="G24" s="5" t="str">
        <f t="shared" si="2"/>
        <v/>
      </c>
      <c r="H24" s="5" t="str">
        <f t="shared" si="3"/>
        <v/>
      </c>
      <c r="I24" s="5" t="str">
        <f t="shared" si="4"/>
        <v/>
      </c>
      <c r="X24" s="45" t="s">
        <v>298</v>
      </c>
      <c r="Y24" s="50">
        <v>0</v>
      </c>
      <c r="Z24" s="51">
        <v>9</v>
      </c>
      <c r="AA24" s="51">
        <v>0</v>
      </c>
      <c r="AB24" s="52">
        <v>11</v>
      </c>
    </row>
    <row r="25" spans="2:28" ht="15.75">
      <c r="B25" s="71"/>
      <c r="C25" s="71"/>
      <c r="D25" s="71"/>
      <c r="E25" s="5" t="str">
        <f t="shared" si="0"/>
        <v/>
      </c>
      <c r="F25" s="5" t="str">
        <f t="shared" si="1"/>
        <v/>
      </c>
      <c r="G25" s="5" t="str">
        <f t="shared" si="2"/>
        <v/>
      </c>
      <c r="H25" s="5" t="str">
        <f t="shared" si="3"/>
        <v/>
      </c>
      <c r="I25" s="5" t="str">
        <f t="shared" si="4"/>
        <v/>
      </c>
      <c r="X25" s="64" t="s">
        <v>299</v>
      </c>
      <c r="Y25" s="54">
        <v>20.399999999999999</v>
      </c>
      <c r="Z25" s="55">
        <v>0</v>
      </c>
      <c r="AA25" s="55">
        <v>0</v>
      </c>
      <c r="AB25" s="65">
        <v>24</v>
      </c>
    </row>
    <row r="26" spans="2:28" ht="15.75">
      <c r="B26" s="71"/>
      <c r="C26" s="71"/>
      <c r="D26" s="71"/>
      <c r="E26" s="5" t="str">
        <f t="shared" si="0"/>
        <v/>
      </c>
      <c r="F26" s="5" t="str">
        <f t="shared" si="1"/>
        <v/>
      </c>
      <c r="G26" s="5" t="str">
        <f t="shared" si="2"/>
        <v/>
      </c>
      <c r="H26" s="5" t="str">
        <f t="shared" si="3"/>
        <v/>
      </c>
      <c r="I26" s="5" t="str">
        <f t="shared" si="4"/>
        <v/>
      </c>
      <c r="X26" s="45" t="s">
        <v>300</v>
      </c>
      <c r="Y26" s="50">
        <v>0</v>
      </c>
      <c r="Z26" s="51">
        <v>0</v>
      </c>
      <c r="AA26" s="51">
        <v>41.5</v>
      </c>
      <c r="AB26" s="52">
        <v>17</v>
      </c>
    </row>
    <row r="27" spans="2:28" ht="15.75">
      <c r="B27" s="71"/>
      <c r="C27" s="71"/>
      <c r="D27" s="71"/>
      <c r="E27" s="5" t="str">
        <f t="shared" si="0"/>
        <v/>
      </c>
      <c r="F27" s="5" t="str">
        <f t="shared" si="1"/>
        <v/>
      </c>
      <c r="G27" s="5" t="str">
        <f t="shared" si="2"/>
        <v/>
      </c>
      <c r="H27" s="5" t="str">
        <f t="shared" si="3"/>
        <v/>
      </c>
      <c r="I27" s="5" t="str">
        <f t="shared" si="4"/>
        <v/>
      </c>
      <c r="X27" s="45" t="s">
        <v>300</v>
      </c>
      <c r="Y27" s="50">
        <v>0</v>
      </c>
      <c r="Z27" s="51">
        <v>41.5</v>
      </c>
      <c r="AA27" s="51">
        <v>0</v>
      </c>
      <c r="AB27" s="52">
        <v>17</v>
      </c>
    </row>
    <row r="28" spans="2:28" ht="15.75">
      <c r="B28" s="71"/>
      <c r="C28" s="71"/>
      <c r="D28" s="71"/>
      <c r="E28" s="5" t="str">
        <f t="shared" si="0"/>
        <v/>
      </c>
      <c r="F28" s="5" t="str">
        <f t="shared" si="1"/>
        <v/>
      </c>
      <c r="G28" s="5" t="str">
        <f t="shared" si="2"/>
        <v/>
      </c>
      <c r="H28" s="5" t="str">
        <f t="shared" si="3"/>
        <v/>
      </c>
      <c r="I28" s="5" t="str">
        <f t="shared" si="4"/>
        <v/>
      </c>
      <c r="X28" s="49" t="s">
        <v>301</v>
      </c>
      <c r="Y28" s="50">
        <v>0</v>
      </c>
      <c r="Z28" s="51">
        <v>4.4000000000000004</v>
      </c>
      <c r="AA28" s="51">
        <v>25</v>
      </c>
      <c r="AB28" s="52">
        <v>5.5</v>
      </c>
    </row>
    <row r="29" spans="2:28" ht="15.75">
      <c r="B29" s="71"/>
      <c r="C29" s="71"/>
      <c r="D29" s="71"/>
      <c r="E29" s="5" t="str">
        <f t="shared" si="0"/>
        <v/>
      </c>
      <c r="F29" s="5" t="str">
        <f t="shared" si="1"/>
        <v/>
      </c>
      <c r="G29" s="5" t="str">
        <f t="shared" si="2"/>
        <v/>
      </c>
      <c r="H29" s="5" t="str">
        <f t="shared" si="3"/>
        <v/>
      </c>
      <c r="I29" s="5" t="str">
        <f t="shared" si="4"/>
        <v/>
      </c>
      <c r="X29" s="45" t="s">
        <v>302</v>
      </c>
      <c r="Y29" s="50">
        <v>0</v>
      </c>
      <c r="Z29" s="51">
        <v>5.9</v>
      </c>
      <c r="AA29" s="51">
        <v>16.600000000000001</v>
      </c>
      <c r="AB29" s="52">
        <v>7.3</v>
      </c>
    </row>
    <row r="30" spans="2:28" ht="15.75">
      <c r="B30" s="71"/>
      <c r="C30" s="71"/>
      <c r="D30" s="71"/>
      <c r="E30" s="5" t="str">
        <f t="shared" si="0"/>
        <v/>
      </c>
      <c r="F30" s="5" t="str">
        <f t="shared" si="1"/>
        <v/>
      </c>
      <c r="G30" s="5" t="str">
        <f t="shared" si="2"/>
        <v/>
      </c>
      <c r="H30" s="5" t="str">
        <f t="shared" si="3"/>
        <v/>
      </c>
      <c r="I30" s="5" t="str">
        <f t="shared" si="4"/>
        <v/>
      </c>
      <c r="X30" s="45" t="s">
        <v>303</v>
      </c>
      <c r="Y30" s="50">
        <v>0</v>
      </c>
      <c r="Z30" s="51">
        <v>6.6</v>
      </c>
      <c r="AA30" s="51">
        <v>12.7</v>
      </c>
      <c r="AB30" s="52">
        <v>8.1999999999999993</v>
      </c>
    </row>
    <row r="31" spans="2:28" ht="15.75">
      <c r="B31" s="71"/>
      <c r="C31" s="71"/>
      <c r="D31" s="71"/>
      <c r="E31" s="5" t="str">
        <f t="shared" si="0"/>
        <v/>
      </c>
      <c r="F31" s="5" t="str">
        <f t="shared" si="1"/>
        <v/>
      </c>
      <c r="G31" s="5" t="str">
        <f t="shared" si="2"/>
        <v/>
      </c>
      <c r="H31" s="5" t="str">
        <f t="shared" si="3"/>
        <v/>
      </c>
      <c r="I31" s="5" t="str">
        <f t="shared" si="4"/>
        <v/>
      </c>
      <c r="X31" s="45" t="s">
        <v>304</v>
      </c>
      <c r="Y31" s="50">
        <v>0</v>
      </c>
      <c r="Z31" s="51">
        <v>7</v>
      </c>
      <c r="AA31" s="51">
        <v>10</v>
      </c>
      <c r="AB31" s="52">
        <v>8.8000000000000007</v>
      </c>
    </row>
    <row r="32" spans="2:28" ht="15.75">
      <c r="B32" s="71"/>
      <c r="C32" s="71"/>
      <c r="D32" s="71"/>
      <c r="E32" s="5" t="str">
        <f t="shared" si="0"/>
        <v/>
      </c>
      <c r="F32" s="5" t="str">
        <f t="shared" si="1"/>
        <v/>
      </c>
      <c r="G32" s="5" t="str">
        <f t="shared" si="2"/>
        <v/>
      </c>
      <c r="H32" s="5" t="str">
        <f t="shared" si="3"/>
        <v/>
      </c>
      <c r="I32" s="5" t="str">
        <f t="shared" si="4"/>
        <v/>
      </c>
      <c r="X32" s="45" t="s">
        <v>305</v>
      </c>
      <c r="Y32" s="50">
        <v>0</v>
      </c>
      <c r="Z32" s="51">
        <v>7.3</v>
      </c>
      <c r="AA32" s="51">
        <v>8.3000000000000007</v>
      </c>
      <c r="AB32" s="52">
        <v>9.1999999999999993</v>
      </c>
    </row>
    <row r="33" spans="2:28" ht="15.75">
      <c r="B33" s="71"/>
      <c r="C33" s="71"/>
      <c r="D33" s="71"/>
      <c r="E33" s="5" t="str">
        <f t="shared" si="0"/>
        <v/>
      </c>
      <c r="F33" s="5" t="str">
        <f t="shared" si="1"/>
        <v/>
      </c>
      <c r="G33" s="5" t="str">
        <f t="shared" si="2"/>
        <v/>
      </c>
      <c r="H33" s="5" t="str">
        <f t="shared" si="3"/>
        <v/>
      </c>
      <c r="I33" s="5" t="str">
        <f t="shared" si="4"/>
        <v/>
      </c>
      <c r="X33" s="49" t="s">
        <v>306</v>
      </c>
      <c r="Y33" s="50">
        <v>0</v>
      </c>
      <c r="Z33" s="51">
        <v>20</v>
      </c>
      <c r="AA33" s="51">
        <v>0</v>
      </c>
      <c r="AB33" s="52">
        <v>0.8</v>
      </c>
    </row>
    <row r="34" spans="2:28" ht="15.75">
      <c r="B34" s="71"/>
      <c r="C34" s="71"/>
      <c r="D34" s="71"/>
      <c r="E34" s="5" t="str">
        <f t="shared" si="0"/>
        <v/>
      </c>
      <c r="F34" s="5" t="str">
        <f t="shared" si="1"/>
        <v/>
      </c>
      <c r="G34" s="5" t="str">
        <f t="shared" si="2"/>
        <v/>
      </c>
      <c r="H34" s="5" t="str">
        <f t="shared" si="3"/>
        <v/>
      </c>
      <c r="I34" s="5" t="str">
        <f t="shared" si="4"/>
        <v/>
      </c>
      <c r="X34" s="45" t="s">
        <v>307</v>
      </c>
      <c r="Y34" s="50">
        <v>46</v>
      </c>
      <c r="Z34" s="51">
        <v>0</v>
      </c>
      <c r="AA34" s="51">
        <v>0</v>
      </c>
      <c r="AB34" s="52">
        <v>0</v>
      </c>
    </row>
    <row r="35" spans="2:28" ht="15.75">
      <c r="B35" s="71"/>
      <c r="C35" s="71"/>
      <c r="D35" s="71"/>
      <c r="E35" s="5" t="str">
        <f t="shared" si="0"/>
        <v/>
      </c>
      <c r="F35" s="5" t="str">
        <f t="shared" si="1"/>
        <v/>
      </c>
      <c r="G35" s="5" t="str">
        <f t="shared" si="2"/>
        <v/>
      </c>
      <c r="H35" s="5" t="str">
        <f t="shared" si="3"/>
        <v/>
      </c>
      <c r="I35" s="5" t="str">
        <f t="shared" si="4"/>
        <v/>
      </c>
      <c r="X35" s="59" t="s">
        <v>322</v>
      </c>
      <c r="Y35" s="60">
        <v>33.5</v>
      </c>
      <c r="Z35" s="51">
        <v>0</v>
      </c>
      <c r="AA35" s="51">
        <v>0</v>
      </c>
      <c r="AB35" s="52">
        <v>12</v>
      </c>
    </row>
    <row r="36" spans="2:28" ht="15.75">
      <c r="B36" s="71"/>
      <c r="C36" s="71"/>
      <c r="D36" s="71"/>
      <c r="E36" s="5" t="str">
        <f t="shared" si="0"/>
        <v/>
      </c>
      <c r="F36" s="5" t="str">
        <f t="shared" si="1"/>
        <v/>
      </c>
      <c r="G36" s="5" t="str">
        <f t="shared" si="2"/>
        <v/>
      </c>
      <c r="H36" s="5" t="str">
        <f t="shared" si="3"/>
        <v/>
      </c>
      <c r="I36" s="5" t="str">
        <f t="shared" si="4"/>
        <v/>
      </c>
      <c r="X36" s="45" t="s">
        <v>309</v>
      </c>
    </row>
    <row r="37" spans="2:28">
      <c r="B37" s="71"/>
      <c r="C37" s="71"/>
      <c r="D37" s="71"/>
      <c r="E37" s="5" t="str">
        <f t="shared" si="0"/>
        <v/>
      </c>
      <c r="F37" s="5" t="str">
        <f t="shared" si="1"/>
        <v/>
      </c>
      <c r="G37" s="5" t="str">
        <f t="shared" si="2"/>
        <v/>
      </c>
      <c r="H37" s="5" t="str">
        <f t="shared" si="3"/>
        <v/>
      </c>
      <c r="I37" s="5" t="str">
        <f t="shared" si="4"/>
        <v/>
      </c>
    </row>
    <row r="38" spans="2:28">
      <c r="B38" s="71"/>
      <c r="C38" s="71"/>
      <c r="D38" s="71"/>
      <c r="E38" s="5" t="str">
        <f t="shared" si="0"/>
        <v/>
      </c>
      <c r="F38" s="5" t="str">
        <f t="shared" si="1"/>
        <v/>
      </c>
      <c r="G38" s="5" t="str">
        <f t="shared" si="2"/>
        <v/>
      </c>
      <c r="H38" s="5" t="str">
        <f t="shared" si="3"/>
        <v/>
      </c>
      <c r="I38" s="5" t="str">
        <f t="shared" si="4"/>
        <v/>
      </c>
    </row>
    <row r="39" spans="2:28">
      <c r="B39" s="71"/>
      <c r="C39" s="71"/>
      <c r="D39" s="71"/>
      <c r="E39" s="5" t="str">
        <f t="shared" si="0"/>
        <v/>
      </c>
      <c r="F39" s="5" t="str">
        <f t="shared" si="1"/>
        <v/>
      </c>
      <c r="G39" s="5" t="str">
        <f t="shared" si="2"/>
        <v/>
      </c>
      <c r="H39" s="5" t="str">
        <f t="shared" si="3"/>
        <v/>
      </c>
      <c r="I39" s="5" t="str">
        <f t="shared" si="4"/>
        <v/>
      </c>
    </row>
    <row r="40" spans="2:28">
      <c r="B40" s="71"/>
      <c r="C40" s="71"/>
      <c r="D40" s="71"/>
      <c r="E40" s="5" t="str">
        <f t="shared" si="0"/>
        <v/>
      </c>
      <c r="F40" s="5" t="str">
        <f t="shared" si="1"/>
        <v/>
      </c>
      <c r="G40" s="5" t="str">
        <f t="shared" si="2"/>
        <v/>
      </c>
      <c r="H40" s="5" t="str">
        <f t="shared" si="3"/>
        <v/>
      </c>
      <c r="I40" s="5" t="str">
        <f t="shared" si="4"/>
        <v/>
      </c>
    </row>
    <row r="41" spans="2:28">
      <c r="B41" s="71"/>
      <c r="C41" s="71"/>
      <c r="D41" s="71"/>
      <c r="E41" s="5" t="str">
        <f t="shared" si="0"/>
        <v/>
      </c>
      <c r="F41" s="5" t="str">
        <f t="shared" si="1"/>
        <v/>
      </c>
      <c r="G41" s="5" t="str">
        <f t="shared" si="2"/>
        <v/>
      </c>
      <c r="H41" s="5" t="str">
        <f t="shared" si="3"/>
        <v/>
      </c>
      <c r="I41" s="5" t="str">
        <f t="shared" si="4"/>
        <v/>
      </c>
    </row>
    <row r="42" spans="2:28">
      <c r="B42" s="71"/>
      <c r="C42" s="71"/>
      <c r="D42" s="71"/>
      <c r="E42" s="5" t="str">
        <f t="shared" si="0"/>
        <v/>
      </c>
      <c r="F42" s="5" t="str">
        <f t="shared" si="1"/>
        <v/>
      </c>
      <c r="G42" s="5" t="str">
        <f t="shared" si="2"/>
        <v/>
      </c>
      <c r="H42" s="5" t="str">
        <f t="shared" si="3"/>
        <v/>
      </c>
      <c r="I42" s="5" t="str">
        <f t="shared" si="4"/>
        <v/>
      </c>
    </row>
    <row r="43" spans="2:28">
      <c r="B43" s="71"/>
      <c r="C43" s="71"/>
      <c r="D43" s="71"/>
      <c r="E43" s="5" t="str">
        <f t="shared" si="0"/>
        <v/>
      </c>
      <c r="F43" s="5" t="str">
        <f t="shared" si="1"/>
        <v/>
      </c>
      <c r="G43" s="5" t="str">
        <f t="shared" si="2"/>
        <v/>
      </c>
      <c r="H43" s="5" t="str">
        <f t="shared" si="3"/>
        <v/>
      </c>
      <c r="I43" s="5" t="str">
        <f t="shared" si="4"/>
        <v/>
      </c>
    </row>
    <row r="44" spans="2:28">
      <c r="B44" s="71"/>
      <c r="C44" s="71"/>
      <c r="D44" s="71"/>
      <c r="E44" s="5" t="str">
        <f t="shared" si="0"/>
        <v/>
      </c>
      <c r="F44" s="5" t="str">
        <f t="shared" si="1"/>
        <v/>
      </c>
      <c r="G44" s="5" t="str">
        <f t="shared" si="2"/>
        <v/>
      </c>
      <c r="H44" s="5" t="str">
        <f t="shared" si="3"/>
        <v/>
      </c>
      <c r="I44" s="5" t="str">
        <f t="shared" si="4"/>
        <v/>
      </c>
    </row>
    <row r="45" spans="2:28">
      <c r="B45" s="71"/>
      <c r="C45" s="71"/>
      <c r="D45" s="71"/>
      <c r="E45" s="5" t="str">
        <f t="shared" si="0"/>
        <v/>
      </c>
      <c r="F45" s="5" t="str">
        <f t="shared" si="1"/>
        <v/>
      </c>
      <c r="G45" s="5" t="str">
        <f t="shared" si="2"/>
        <v/>
      </c>
      <c r="H45" s="5" t="str">
        <f t="shared" si="3"/>
        <v/>
      </c>
      <c r="I45" s="5" t="str">
        <f t="shared" si="4"/>
        <v/>
      </c>
    </row>
    <row r="46" spans="2:28">
      <c r="B46" s="71"/>
      <c r="C46" s="71"/>
      <c r="D46" s="71"/>
      <c r="E46" s="5" t="str">
        <f t="shared" si="0"/>
        <v/>
      </c>
      <c r="F46" s="5" t="str">
        <f t="shared" si="1"/>
        <v/>
      </c>
      <c r="G46" s="5" t="str">
        <f t="shared" si="2"/>
        <v/>
      </c>
      <c r="H46" s="5" t="str">
        <f t="shared" si="3"/>
        <v/>
      </c>
      <c r="I46" s="5" t="str">
        <f t="shared" si="4"/>
        <v/>
      </c>
    </row>
    <row r="47" spans="2:28">
      <c r="B47" s="71"/>
      <c r="C47" s="71"/>
      <c r="D47" s="71"/>
      <c r="E47" s="5" t="str">
        <f t="shared" si="0"/>
        <v/>
      </c>
      <c r="F47" s="5" t="str">
        <f t="shared" si="1"/>
        <v/>
      </c>
      <c r="G47" s="5" t="str">
        <f t="shared" si="2"/>
        <v/>
      </c>
      <c r="H47" s="5" t="str">
        <f t="shared" si="3"/>
        <v/>
      </c>
      <c r="I47" s="5" t="str">
        <f>IF(D47="","",IF(B47=$C$63,$D$63,IF(B47=$C$64,$D$64,IF(B47=$C$65,$D$65,IF(B47=$C$66,$D$66,IF(D47&gt;0,0,""))))))</f>
        <v/>
      </c>
    </row>
    <row r="48" spans="2:28">
      <c r="B48" s="71"/>
      <c r="C48" s="71"/>
      <c r="D48" s="71"/>
      <c r="E48" s="5" t="str">
        <f t="shared" si="0"/>
        <v/>
      </c>
      <c r="F48" s="5" t="str">
        <f t="shared" si="1"/>
        <v/>
      </c>
      <c r="G48" s="5" t="str">
        <f t="shared" si="2"/>
        <v/>
      </c>
      <c r="H48" s="5" t="str">
        <f t="shared" si="3"/>
        <v/>
      </c>
      <c r="I48" s="5" t="str">
        <f t="shared" si="4"/>
        <v/>
      </c>
    </row>
    <row r="49" spans="2:9">
      <c r="B49" s="71"/>
      <c r="C49" s="71"/>
      <c r="D49" s="71"/>
      <c r="E49" s="5" t="str">
        <f t="shared" si="0"/>
        <v/>
      </c>
      <c r="F49" s="5" t="str">
        <f t="shared" si="1"/>
        <v/>
      </c>
      <c r="G49" s="5" t="str">
        <f t="shared" si="2"/>
        <v/>
      </c>
      <c r="H49" s="5" t="str">
        <f t="shared" si="3"/>
        <v/>
      </c>
      <c r="I49" s="5" t="str">
        <f t="shared" si="4"/>
        <v/>
      </c>
    </row>
    <row r="50" spans="2:9">
      <c r="B50" s="71"/>
      <c r="C50" s="71"/>
      <c r="D50" s="71"/>
      <c r="E50" s="5" t="str">
        <f t="shared" si="0"/>
        <v/>
      </c>
      <c r="F50" s="5" t="str">
        <f t="shared" si="1"/>
        <v/>
      </c>
      <c r="G50" s="5" t="str">
        <f t="shared" si="2"/>
        <v/>
      </c>
      <c r="H50" s="5" t="str">
        <f t="shared" si="3"/>
        <v/>
      </c>
      <c r="I50" s="5" t="str">
        <f t="shared" si="4"/>
        <v/>
      </c>
    </row>
    <row r="51" spans="2:9">
      <c r="B51" s="71"/>
      <c r="C51" s="71"/>
      <c r="D51" s="71"/>
      <c r="E51" s="5" t="str">
        <f t="shared" si="0"/>
        <v/>
      </c>
      <c r="F51" s="5" t="str">
        <f t="shared" si="1"/>
        <v/>
      </c>
      <c r="G51" s="5" t="str">
        <f t="shared" si="2"/>
        <v/>
      </c>
      <c r="H51" s="5" t="str">
        <f t="shared" si="3"/>
        <v/>
      </c>
      <c r="I51" s="5" t="str">
        <f t="shared" si="4"/>
        <v/>
      </c>
    </row>
    <row r="52" spans="2:9">
      <c r="B52" s="71"/>
      <c r="C52" s="71"/>
      <c r="D52" s="71"/>
      <c r="E52" s="5" t="str">
        <f t="shared" si="0"/>
        <v/>
      </c>
      <c r="F52" s="5" t="str">
        <f t="shared" si="1"/>
        <v/>
      </c>
      <c r="G52" s="5" t="str">
        <f t="shared" si="2"/>
        <v/>
      </c>
      <c r="H52" s="5" t="str">
        <f t="shared" si="3"/>
        <v/>
      </c>
      <c r="I52" s="5" t="str">
        <f t="shared" si="4"/>
        <v/>
      </c>
    </row>
    <row r="53" spans="2:9">
      <c r="B53" s="71"/>
      <c r="C53" s="71"/>
      <c r="D53" s="71"/>
      <c r="E53" s="5" t="str">
        <f t="shared" si="0"/>
        <v/>
      </c>
      <c r="F53" s="5" t="str">
        <f t="shared" si="1"/>
        <v/>
      </c>
      <c r="G53" s="5" t="str">
        <f t="shared" si="2"/>
        <v/>
      </c>
      <c r="H53" s="5" t="str">
        <f t="shared" si="3"/>
        <v/>
      </c>
      <c r="I53" s="5" t="str">
        <f t="shared" si="4"/>
        <v/>
      </c>
    </row>
    <row r="54" spans="2:9">
      <c r="B54" s="71"/>
      <c r="C54" s="71"/>
      <c r="D54" s="71"/>
      <c r="E54" s="5" t="str">
        <f t="shared" si="0"/>
        <v/>
      </c>
      <c r="F54" s="5" t="str">
        <f t="shared" si="1"/>
        <v/>
      </c>
      <c r="G54" s="5" t="str">
        <f t="shared" si="2"/>
        <v/>
      </c>
      <c r="H54" s="5" t="str">
        <f t="shared" si="3"/>
        <v/>
      </c>
      <c r="I54" s="5" t="str">
        <f t="shared" si="4"/>
        <v/>
      </c>
    </row>
    <row r="55" spans="2:9"/>
    <row r="56" spans="2:9"/>
    <row r="60" spans="2:9" hidden="1">
      <c r="B60" s="76"/>
      <c r="C60" s="4" t="s">
        <v>310</v>
      </c>
      <c r="D60" s="4"/>
      <c r="E60" s="4"/>
      <c r="F60" s="4"/>
      <c r="G60" s="4"/>
    </row>
    <row r="61" spans="2:9" ht="15.75" hidden="1">
      <c r="B61" s="76"/>
      <c r="C61" s="4"/>
      <c r="D61" s="128"/>
      <c r="E61" s="128"/>
      <c r="F61" s="128"/>
      <c r="G61" s="128"/>
    </row>
    <row r="62" spans="2:9" ht="45" hidden="1">
      <c r="B62" s="4"/>
      <c r="C62" s="4"/>
      <c r="D62" s="95" t="s">
        <v>311</v>
      </c>
      <c r="E62" s="95" t="s">
        <v>312</v>
      </c>
      <c r="F62" s="95" t="s">
        <v>313</v>
      </c>
      <c r="G62" s="96"/>
    </row>
    <row r="63" spans="2:9" hidden="1">
      <c r="B63" s="129" t="s">
        <v>314</v>
      </c>
      <c r="C63" s="4" t="s">
        <v>307</v>
      </c>
      <c r="D63" s="4">
        <v>100</v>
      </c>
      <c r="E63" s="4" cm="1">
        <f t="array" ref="E63">SUMPRODUCT(IF($B$6:$B$54=C63,1,0),$C$6:$C$54,$D$6:$D$54/1000,$E$6:$E$54)/100</f>
        <v>0</v>
      </c>
      <c r="F63" s="97">
        <f>E63*D63/100</f>
        <v>0</v>
      </c>
      <c r="G63" s="4"/>
    </row>
    <row r="64" spans="2:9" hidden="1">
      <c r="B64" s="129"/>
      <c r="C64" s="4" t="s">
        <v>322</v>
      </c>
      <c r="D64" s="4">
        <v>69</v>
      </c>
      <c r="E64" s="4" cm="1">
        <f t="array" ref="E64">SUMPRODUCT(IF($B$6:$B$54=C64,1,0),$C$6:$C$54,$D$6:$D$54/1000,$E$6:$E$54)/100</f>
        <v>0</v>
      </c>
      <c r="F64" s="97">
        <f>E64*D64/100</f>
        <v>0</v>
      </c>
      <c r="G64" s="4"/>
    </row>
    <row r="65" spans="2:7" hidden="1">
      <c r="B65" s="129"/>
      <c r="C65" s="4" t="s">
        <v>289</v>
      </c>
      <c r="D65" s="4">
        <v>72</v>
      </c>
      <c r="E65" s="4" cm="1">
        <f t="array" ref="E65">SUMPRODUCT(IF($B$6:$B$54=C65,1,0),$C$6:$C$54,$D$6:$D$54/1000,$E$6:$E$54)/100</f>
        <v>0</v>
      </c>
      <c r="F65" s="97">
        <f>E65*D65/100</f>
        <v>0</v>
      </c>
      <c r="G65" s="4"/>
    </row>
    <row r="66" spans="2:7" hidden="1">
      <c r="B66" s="129"/>
      <c r="C66" s="4" t="s">
        <v>282</v>
      </c>
      <c r="D66" s="4">
        <v>50.5</v>
      </c>
      <c r="E66" s="4" cm="1">
        <f t="array" ref="E66">(SUMPRODUCT(IF($B$6:$B$54=C66,1,0),$C$6:$C$54,$D$6:$D$54,$E$6:$E$54)/100)/1000</f>
        <v>0</v>
      </c>
      <c r="F66" s="97">
        <f>E66*D66/100</f>
        <v>0</v>
      </c>
      <c r="G66" s="4"/>
    </row>
    <row r="67" spans="2:7" hidden="1">
      <c r="B67" s="105"/>
      <c r="C67" s="4" t="s">
        <v>315</v>
      </c>
      <c r="D67" s="4">
        <v>0</v>
      </c>
      <c r="E67" s="98" cm="1">
        <f t="array" ref="E67">(SUMPRODUCT($C$6:$C$54,$D$6:$D$54/1000,$E$6:$E$54)-(SUMPRODUCT(IF($B$6:$B$54=C63,1,0),$C$6:$C$54,$D$6:$D$54/1000,$E$6:$E$54)+SUMPRODUCT(IF($B$6:$B$54=C64,1,0),$C$6:$C$54,$D$6:$D$54/1000,$E$6:$E$54)+SUMPRODUCT(IF($B$6:$B$54=C65,1,0),$C$6:$C$54,$D$6:$D$54/1000,$E$6:$E$54)+(SUMPRODUCT(IF($B$6:$B$54=C66,1,0),$C$6:$C$54,$D$6:$D$54,$E$6:$E$54)/1000)))/100</f>
        <v>0</v>
      </c>
      <c r="F67" s="97">
        <f>E67*D67/100</f>
        <v>0</v>
      </c>
      <c r="G67" s="4"/>
    </row>
    <row r="68" spans="2:7" ht="15.75" hidden="1">
      <c r="B68" s="99"/>
      <c r="C68" s="100" t="s">
        <v>316</v>
      </c>
      <c r="D68" s="4"/>
      <c r="E68" s="4">
        <f>SUM(E63:E67)</f>
        <v>0</v>
      </c>
      <c r="F68" s="97">
        <f>SUM(F63:F67)</f>
        <v>0</v>
      </c>
      <c r="G68" s="4"/>
    </row>
    <row r="69" spans="2:7" ht="15.75" hidden="1">
      <c r="B69" s="99"/>
      <c r="C69" s="100"/>
      <c r="D69" s="4"/>
      <c r="E69" s="4"/>
      <c r="F69" s="97"/>
      <c r="G69" s="4"/>
    </row>
    <row r="70" spans="2:7" hidden="1">
      <c r="B70" s="4"/>
      <c r="C70" s="4"/>
      <c r="D70" s="4"/>
      <c r="E70" s="4"/>
      <c r="F70" s="4"/>
      <c r="G70" s="4"/>
    </row>
    <row r="71" spans="2:7" hidden="1">
      <c r="B71" s="4" t="s">
        <v>317</v>
      </c>
      <c r="C71" s="4"/>
      <c r="D71" s="4"/>
      <c r="E71" s="4"/>
      <c r="F71" s="4">
        <f>IF(F68=0,0,F68/O8*100)</f>
        <v>0</v>
      </c>
      <c r="G71" s="4"/>
    </row>
  </sheetData>
  <sheetProtection algorithmName="SHA-512" hashValue="1KDDAbO0t2RY/Us5rQx6mTfvVyD2oetClxeuEM1aDgAboyrsXEUmRETETm3vzp7sH6dap0mlltUsuziVwJorOg==" saltValue="dGfCcSy6Mk6XfGA6UGrqeA==" spinCount="100000" sheet="1" objects="1" scenarios="1"/>
  <sortState xmlns:xlrd2="http://schemas.microsoft.com/office/spreadsheetml/2017/richdata2" ref="X5:AB35">
    <sortCondition ref="X5:X35"/>
  </sortState>
  <mergeCells count="8">
    <mergeCell ref="D61:G61"/>
    <mergeCell ref="B63:B66"/>
    <mergeCell ref="X2:X4"/>
    <mergeCell ref="Y2:AB2"/>
    <mergeCell ref="B4:B5"/>
    <mergeCell ref="E4:H4"/>
    <mergeCell ref="M10:N10"/>
    <mergeCell ref="B3:F3"/>
  </mergeCells>
  <dataValidations count="1">
    <dataValidation type="list" allowBlank="1" showInputMessage="1" showErrorMessage="1" sqref="B6:B54" xr:uid="{98B70AF7-5645-4D72-9F36-97A9AB0D0941}">
      <formula1>$X$5:$X$36</formula1>
    </dataValidation>
  </dataValidations>
  <hyperlinks>
    <hyperlink ref="M13" location="Index!A1" display="Back to index" xr:uid="{1CA3B595-B546-41E2-9D29-019C3EDD138D}"/>
    <hyperlink ref="O13" location="'Energy consumption'!A1" display="Next sheet" xr:uid="{4CD519E5-8E40-468F-B10A-6AE2C06103D2}"/>
    <hyperlink ref="N13" location="Diet!A1" display="Previous sheet" xr:uid="{5BBF30CA-7AC3-4E6C-B32B-FF559C868479}"/>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criptIds xmlns="http://schemas.microsoft.com/office/extensibility/maker/v1.0" id="script-ids-node-id">
  <scriptId id="ms-officescript%3A%2F%2Fonedrive_business_itemlink%2F01YJ2KKGH42WJKBSE7ARAY3VJ2GH5VWVC5:ms-officescript%3A%2F%2Fonedrive_business_sharinglink%2Fu!aHR0cHM6Ly9kYWlyeWF1c3RyYWxpYS1teS5zaGFyZXBvaW50LmNvbS86dTovZy9wZXJzb25hbC9zY290dF9qYXJkaW5lX2RhaXJ5YXVzdHJhbGlhX2NvbV9hdS9JUUQ4MVpLZ3lKOEVRWTNWT2pIN1cxUmRBZTJ3WS1TWDhKbHROTlc4VEcwS1JQbw"/>
  <scriptId xmlns="" id="ms-officescript%3A%2F%2Fonedrive_business_itemlink%2F01YJ2KKGHUW3S4LP6RVRF33SYJCHATN4AH:ms-officescript%3A%2F%2Fonedrive_business_sharinglink%2Fu!aHR0cHM6Ly9kYWlyeWF1c3RyYWxpYS1teS5zaGFyZXBvaW50LmNvbS86dTovZy9wZXJzb25hbC9zY290dF9qYXJkaW5lX2RhaXJ5YXVzdHJhbGlhX2NvbV9hdS9JUUQwdHVYRnY5R3NTNzNMQ1JIQk52QUhBUjZZdEdSYkFiM0VOZXJIWTZqOEpGSQ"/>
  <scriptId xmlns="" id="ms-officescript%3A%2F%2Fonedrive_business_itemlink%2F01YJ2KKGGLR6AIFHSKIVEKJRQ5QGWOAYG7:ms-officescript%3A%2F%2Fonedrive_business_sharinglink%2Fu!aHR0cHM6Ly9kYWlyeWF1c3RyYWxpYS1teS5zaGFyZXBvaW50LmNvbS86dTovZy9wZXJzb25hbC9zY290dF9qYXJkaW5lX2RhaXJ5YXVzdHJhbGlhX2NvbV9hdS9JUURMajRDQ25rcEZTS1RHSFlHczRHRGZBYnFWTTVmOVFYZF9jbTZ0c1NoTFktOA"/>
  <scriptId xmlns="" id="ms-officescript%3A%2F%2Fonedrive_business_itemlink%2F01YJ2KKGAKCHRVEZNABZHISMPIKFPWPN3N:ms-officescript%3A%2F%2Fonedrive_business_sharinglink%2Fu!aHR0cHM6Ly9kYWlyeWF1c3RyYWxpYS1teS5zaGFyZXBvaW50LmNvbS86dTovZy9wZXJzb25hbC9zY290dF9qYXJkaW5lX2RhaXJ5YXVzdHJhbGlhX2NvbV9hdS9JUUFLRWVOU1phQU9Ub2t4NkZGZlo3ZHRBYk9hSkowa0o0SWxFMzNLM3FkemxtSQ"/>
  <scriptId xmlns="" id="ms-officescript%3A%2F%2Fonedrive_business_itemlink%2F01YJ2KKGGBPJTBVGYWONF3LINI27BOXQ2M:ms-officescript%3A%2F%2Fonedrive_business_sharinglink%2Fu!aHR0cHM6Ly9kYWlyeWF1c3RyYWxpYS1teS5zaGFyZXBvaW50LmNvbS86dTovZy9wZXJzb25hbC9zY290dF9qYXJkaW5lX2RhaXJ5YXVzdHJhbGlhX2NvbV9hdS9JUURCZW1ZYW14WnpTN1docU5mQzY4Tk1BVENWLU5QOG9jdFdHSW9ZSUl0bVVpQQ"/>
  <scriptId xmlns="" id="ms-officescript%3A%2F%2Fonedrive_business_itemlink%2F01YJ2KKGBQ7PMMBRS77ZCZGKLD2NEII4BS:ms-officescript%3A%2F%2Fonedrive_business_sharinglink%2Fu!aHR0cHM6Ly9kYWlyeWF1c3RyYWxpYS1teS5zaGFyZXBvaW50LmNvbS86dTovZy9wZXJzb25hbC9zY290dF9qYXJkaW5lX2RhaXJ5YXVzdHJhbGlhX2NvbV9hdS9JUUF3LTlqQXhsXy1SWk1wWTlOSWhIQXlBUzl6M3ZpUllxUzR1UzZBWU9FOXI1TQ"/>
  <scriptId xmlns="" id="ms-officescript%3A%2F%2Fonedrive_business_itemlink%2F01YJ2KKGESLVGSX5QEPZFYUBE3VZ6HPZHS:ms-officescript%3A%2F%2Fonedrive_business_sharinglink%2Fu!aHR0cHM6Ly9kYWlyeWF1c3RyYWxpYS1teS5zaGFyZXBvaW50LmNvbS86dTovZy9wZXJzb25hbC9zY290dF9qYXJkaW5lX2RhaXJ5YXVzdHJhbGlhX2NvbV9hdS9JUUNTWFUwcjlnUi1TNG9FbTY1OGQtVHlBU2l2QXNWanJNTWxfNm5XbVhNVkdwNA"/>
  <scriptId xmlns="" id="ms-officescript%3A%2F%2Fonedrive_business_itemlink%2F01YJ2KKGDM5F4A7R7O5ZEKOPQY472EUJRJ:ms-officescript%3A%2F%2Fonedrive_business_sharinglink%2Fu!aHR0cHM6Ly9kYWlyeWF1c3RyYWxpYS1teS5zaGFyZXBvaW50LmNvbS86dTovZy9wZXJzb25hbC9zY290dF9qYXJkaW5lX2RhaXJ5YXVzdHJhbGlhX2NvbV9hdS9JUUJzNlhnUHgtN3VTS2MtR09mMFNpWXBBVEtJZENZRHpZUTU4R1VibVBaOVBMaw"/>
  <scriptId xmlns="" id="ms-officescript%3A%2F%2Fonedrive_business_itemlink%2F01YJ2KKGAS3RENXLPZGZBJP5UCLFRIGSGY:ms-officescript%3A%2F%2Fonedrive_business_sharinglink%2Fu!aHR0cHM6Ly9kYWlyeWF1c3RyYWxpYS1teS5zaGFyZXBvaW50LmNvbS86dTovZy9wZXJzb25hbC9zY290dF9qYXJkaW5lX2RhaXJ5YXVzdHJhbGlhX2NvbV9hdS9JUUFTM0VqYnJmazJRcGYyZ2xsaWcwallBWXJCcEZZUFY2M0QwWk03c21zWC1zSQ"/>
  <scriptId xmlns="" id="ms-officescript%3A%2F%2Fonedrive_business_itemlink%2F01YJ2KKGDXRMYJ5ANOL5AL5LOU72DXT5AP:ms-officescript%3A%2F%2Fonedrive_business_sharinglink%2Fu!aHR0cHM6Ly9kYWlyeWF1c3RyYWxpYS1teS5zaGFyZXBvaW50LmNvbS86dTovZy9wZXJzb25hbC9zY290dF9qYXJkaW5lX2RhaXJ5YXVzdHJhbGlhX2NvbV9hdS9JUUIzaXpDZWdhNWZRTDZ0MVA2SGVmUVBBVFdqbDRRNWJ2dFpPOHhiejNMcnByWQ"/>
  <scriptId xmlns="" id="ms-officescript%3A%2F%2Fonedrive_business_itemlink%2F01YJ2KKGE4ITXEH2OY2ZDZZNVBL6FKD76I:ms-officescript%3A%2F%2Fonedrive_business_sharinglink%2Fu!aHR0cHM6Ly9kYWlyeWF1c3RyYWxpYS1teS5zaGFyZXBvaW50LmNvbS86dTovZy9wZXJzb25hbC9zY290dF9qYXJkaW5lX2RhaXJ5YXVzdHJhbGlhX2NvbV9hdS9JUUNjUk81RDZkaldSNXkyb1YtS29mX0lBUXVPUnR6UkxSYjZiNEM2Z3NrVThnWQ"/>
</scriptId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8C51DED44B214D8C9795A463EC9CDF" ma:contentTypeVersion="15" ma:contentTypeDescription="Create a new document." ma:contentTypeScope="" ma:versionID="9193c8b2b163137a4765ac6021224d29">
  <xsd:schema xmlns:xsd="http://www.w3.org/2001/XMLSchema" xmlns:xs="http://www.w3.org/2001/XMLSchema" xmlns:p="http://schemas.microsoft.com/office/2006/metadata/properties" xmlns:ns2="37a66f64-3f30-47cc-a66a-ec53e3cc8f4d" xmlns:ns3="29dc85b3-fada-4d54-8b91-2a7104e6d3df" targetNamespace="http://schemas.microsoft.com/office/2006/metadata/properties" ma:root="true" ma:fieldsID="c77d1bbbd298f960fdd5e0dcc4ac1b3a" ns2:_="" ns3:_="">
    <xsd:import namespace="37a66f64-3f30-47cc-a66a-ec53e3cc8f4d"/>
    <xsd:import namespace="29dc85b3-fada-4d54-8b91-2a7104e6d3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a66f64-3f30-47cc-a66a-ec53e3cc8f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06d50bd-5830-4c8e-8053-e6a7571767b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dc85b3-fada-4d54-8b91-2a7104e6d3d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7a66f64-3f30-47cc-a66a-ec53e3cc8f4d">
      <Terms xmlns="http://schemas.microsoft.com/office/infopath/2007/PartnerControls"/>
    </lcf76f155ced4ddcb4097134ff3c332f>
    <MediaLengthInSeconds xmlns="37a66f64-3f30-47cc-a66a-ec53e3cc8f4d" xsi:nil="true"/>
    <SharedWithUsers xmlns="29dc85b3-fada-4d54-8b91-2a7104e6d3df">
      <UserInfo>
        <DisplayName/>
        <AccountId xsi:nil="true"/>
        <AccountType/>
      </UserInfo>
    </SharedWithUsers>
  </documentManagement>
</p:properties>
</file>

<file path=customXml/itemProps1.xml><?xml version="1.0" encoding="utf-8"?>
<ds:datastoreItem xmlns:ds="http://schemas.openxmlformats.org/officeDocument/2006/customXml" ds:itemID="{EBCE5DBD-0BA1-4E92-81A7-4CF57EC2450A}"/>
</file>

<file path=customXml/itemProps2.xml><?xml version="1.0" encoding="utf-8"?>
<ds:datastoreItem xmlns:ds="http://schemas.openxmlformats.org/officeDocument/2006/customXml" ds:itemID="{2F04F790-E967-4763-AD0F-815F3100390E}"/>
</file>

<file path=customXml/itemProps3.xml><?xml version="1.0" encoding="utf-8"?>
<ds:datastoreItem xmlns:ds="http://schemas.openxmlformats.org/officeDocument/2006/customXml" ds:itemID="{CEE8BD86-56AD-485B-9DAA-03392BA324EF}"/>
</file>

<file path=customXml/itemProps4.xml><?xml version="1.0" encoding="utf-8"?>
<ds:datastoreItem xmlns:ds="http://schemas.openxmlformats.org/officeDocument/2006/customXml" ds:itemID="{17F5F315-4899-4CAE-801E-542A85666A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Jardine</dc:creator>
  <cp:keywords/>
  <dc:description/>
  <cp:lastModifiedBy/>
  <cp:revision/>
  <dcterms:created xsi:type="dcterms:W3CDTF">2015-06-05T18:17:20Z</dcterms:created>
  <dcterms:modified xsi:type="dcterms:W3CDTF">2026-06-18T00:06:13Z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0x0101001F8C51DED44B214D8C9795A463EC9CDF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